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nadia\OneDrive\Documentos\Pontão\Nádia 2024\PL 025 2024 - CONCORRÊNCIA 002 2024\"/>
    </mc:Choice>
  </mc:AlternateContent>
  <xr:revisionPtr revIDLastSave="0" documentId="8_{D310E103-FBB9-4C63-A910-C7345339A81D}" xr6:coauthVersionLast="47" xr6:coauthVersionMax="47" xr10:uidLastSave="{00000000-0000-0000-0000-000000000000}"/>
  <bookViews>
    <workbookView xWindow="-120" yWindow="-120" windowWidth="20730" windowHeight="11040" tabRatio="981" xr2:uid="{00000000-000D-0000-FFFF-FFFF00000000}"/>
  </bookViews>
  <sheets>
    <sheet name="Orientações" sheetId="16" r:id="rId1"/>
    <sheet name="1. Coleta Domiciliar" sheetId="2" r:id="rId2"/>
    <sheet name="1.A. Destinação Final" sheetId="11" r:id="rId3"/>
    <sheet name="2. Encargos Sociais" sheetId="14" r:id="rId4"/>
    <sheet name="3.CAGED" sheetId="5" r:id="rId5"/>
    <sheet name="4.BDI" sheetId="4" r:id="rId6"/>
    <sheet name="5. Depreciação" sheetId="6" r:id="rId7"/>
    <sheet name="6.Remuneração de capital" sheetId="7" r:id="rId8"/>
    <sheet name="7.Dimensionamento" sheetId="15" r:id="rId9"/>
  </sheets>
  <definedNames>
    <definedName name="AbaDeprec">'5. Depreciação'!$A$1</definedName>
    <definedName name="AbaRemun">'6.Remuneração de capital'!$A$1</definedName>
    <definedName name="_xlnm.Print_Area" localSheetId="1">'1. Coleta Domiciliar'!$A$1:$F$234</definedName>
    <definedName name="_xlnm.Print_Area" localSheetId="2">'1.A. Destinação Final'!$A$1:$F$214</definedName>
    <definedName name="_xlnm.Print_Area" localSheetId="4">'3.CAGED'!$A$1:$D$35</definedName>
    <definedName name="_xlnm.Print_Titles" localSheetId="2">'1.A. Destinação Final'!#REF!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5" i="11" l="1"/>
  <c r="C19" i="15"/>
  <c r="C12" i="15"/>
  <c r="C13" i="15" s="1"/>
  <c r="B37" i="11"/>
  <c r="C15" i="15" l="1"/>
  <c r="C20" i="15" s="1"/>
  <c r="C22" i="15" s="1"/>
  <c r="C15" i="14" l="1"/>
  <c r="C12" i="14"/>
  <c r="B38" i="2" l="1"/>
  <c r="D172" i="2" l="1"/>
  <c r="A23" i="11" l="1"/>
  <c r="C139" i="11" l="1"/>
  <c r="E51" i="11"/>
  <c r="C86" i="11"/>
  <c r="C116" i="2"/>
  <c r="C103" i="2"/>
  <c r="C182" i="11"/>
  <c r="E182" i="11" s="1"/>
  <c r="D183" i="11" s="1"/>
  <c r="E183" i="11" s="1"/>
  <c r="E174" i="11"/>
  <c r="E173" i="11"/>
  <c r="C160" i="11"/>
  <c r="C129" i="11"/>
  <c r="E129" i="11" s="1"/>
  <c r="C128" i="11"/>
  <c r="E128" i="11" s="1"/>
  <c r="C127" i="11"/>
  <c r="C123" i="11"/>
  <c r="C105" i="11"/>
  <c r="C104" i="11"/>
  <c r="C101" i="11"/>
  <c r="C117" i="11" s="1"/>
  <c r="C100" i="11"/>
  <c r="C99" i="11"/>
  <c r="A63" i="11"/>
  <c r="A68" i="11" s="1"/>
  <c r="C58" i="11"/>
  <c r="E43" i="11"/>
  <c r="D58" i="11" s="1"/>
  <c r="E34" i="11"/>
  <c r="A34" i="11"/>
  <c r="E30" i="11"/>
  <c r="C68" i="11" s="1"/>
  <c r="E68" i="11" s="1"/>
  <c r="A30" i="11"/>
  <c r="A24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D112" i="11"/>
  <c r="E112" i="11" s="1"/>
  <c r="D132" i="2"/>
  <c r="E58" i="11" l="1"/>
  <c r="C147" i="11"/>
  <c r="C143" i="11"/>
  <c r="C153" i="11"/>
  <c r="E153" i="11" s="1"/>
  <c r="F154" i="11" s="1"/>
  <c r="E19" i="11" s="1"/>
  <c r="C145" i="11"/>
  <c r="C141" i="11"/>
  <c r="E124" i="11"/>
  <c r="E96" i="11"/>
  <c r="C184" i="11"/>
  <c r="E184" i="11" s="1"/>
  <c r="D185" i="11" s="1"/>
  <c r="E185" i="11" s="1"/>
  <c r="E131" i="11"/>
  <c r="C63" i="11"/>
  <c r="E63" i="11" s="1"/>
  <c r="E108" i="11"/>
  <c r="E31" i="11"/>
  <c r="E186" i="11"/>
  <c r="D46" i="11"/>
  <c r="E46" i="11" s="1"/>
  <c r="E47" i="11" s="1"/>
  <c r="E69" i="11"/>
  <c r="C162" i="11"/>
  <c r="E87" i="11"/>
  <c r="F186" i="11" l="1"/>
  <c r="F188" i="11" s="1"/>
  <c r="E22" i="11" s="1"/>
  <c r="F69" i="11"/>
  <c r="F59" i="11"/>
  <c r="E9" i="11" s="1"/>
  <c r="D117" i="11"/>
  <c r="E117" i="11" s="1"/>
  <c r="E101" i="11"/>
  <c r="D99" i="11"/>
  <c r="E99" i="11" s="1"/>
  <c r="D100" i="11" s="1"/>
  <c r="E100" i="11" s="1"/>
  <c r="D127" i="11"/>
  <c r="E127" i="11" s="1"/>
  <c r="D130" i="11" s="1"/>
  <c r="E130" i="11" s="1"/>
  <c r="F131" i="11" s="1"/>
  <c r="E17" i="11" s="1"/>
  <c r="C114" i="11"/>
  <c r="F64" i="11"/>
  <c r="E10" i="11" s="1"/>
  <c r="D48" i="11"/>
  <c r="D127" i="2"/>
  <c r="E11" i="11" l="1"/>
  <c r="D104" i="11"/>
  <c r="E104" i="11" s="1"/>
  <c r="D105" i="11" s="1"/>
  <c r="E105" i="11" s="1"/>
  <c r="E106" i="11" s="1"/>
  <c r="D107" i="11" s="1"/>
  <c r="E107" i="11" s="1"/>
  <c r="F108" i="11" s="1"/>
  <c r="E15" i="11" s="1"/>
  <c r="C119" i="11"/>
  <c r="C115" i="11"/>
  <c r="D116" i="11" s="1"/>
  <c r="E116" i="11" s="1"/>
  <c r="C120" i="11" l="1"/>
  <c r="D121" i="11" s="1"/>
  <c r="E121" i="11" s="1"/>
  <c r="E122" i="11" s="1"/>
  <c r="D123" i="11" s="1"/>
  <c r="E123" i="11" s="1"/>
  <c r="F124" i="11" s="1"/>
  <c r="E16" i="11" s="1"/>
  <c r="D143" i="11" l="1"/>
  <c r="E143" i="11" s="1"/>
  <c r="D145" i="11"/>
  <c r="E145" i="11" s="1"/>
  <c r="D139" i="11"/>
  <c r="D141" i="11"/>
  <c r="E141" i="11" s="1"/>
  <c r="E92" i="2" l="1"/>
  <c r="E139" i="11"/>
  <c r="C69" i="2"/>
  <c r="C70" i="2"/>
  <c r="E81" i="11" l="1"/>
  <c r="E85" i="11"/>
  <c r="E79" i="11"/>
  <c r="E80" i="11"/>
  <c r="E82" i="11"/>
  <c r="E84" i="11"/>
  <c r="E83" i="11"/>
  <c r="C24" i="5"/>
  <c r="E86" i="11" l="1"/>
  <c r="F87" i="11" s="1"/>
  <c r="C9" i="4"/>
  <c r="C14" i="4" s="1"/>
  <c r="C205" i="11" s="1"/>
  <c r="F89" i="11" l="1"/>
  <c r="E12" i="11" s="1"/>
  <c r="C22" i="5" l="1"/>
  <c r="C159" i="2" l="1"/>
  <c r="C158" i="2"/>
  <c r="C160" i="2"/>
  <c r="A24" i="2" l="1"/>
  <c r="A23" i="2"/>
  <c r="A22" i="2"/>
  <c r="A14" i="2"/>
  <c r="A13" i="2"/>
  <c r="A7" i="2"/>
  <c r="C130" i="2" l="1"/>
  <c r="C135" i="2"/>
  <c r="E31" i="2" l="1"/>
  <c r="E30" i="2"/>
  <c r="E35" i="2"/>
  <c r="C75" i="2" l="1"/>
  <c r="C81" i="2"/>
  <c r="C82" i="2"/>
  <c r="C76" i="2"/>
  <c r="C154" i="2"/>
  <c r="C149" i="2"/>
  <c r="D109" i="2" l="1"/>
  <c r="E109" i="2" s="1"/>
  <c r="C193" i="2" l="1"/>
  <c r="A21" i="2"/>
  <c r="A20" i="2"/>
  <c r="A19" i="2"/>
  <c r="A18" i="2"/>
  <c r="A17" i="2"/>
  <c r="A16" i="2"/>
  <c r="A15" i="2"/>
  <c r="A12" i="2"/>
  <c r="A11" i="2"/>
  <c r="A10" i="2"/>
  <c r="A9" i="2"/>
  <c r="A8" i="2"/>
  <c r="E218" i="2"/>
  <c r="E162" i="2"/>
  <c r="E155" i="2"/>
  <c r="E139" i="2"/>
  <c r="E117" i="2"/>
  <c r="E104" i="2"/>
  <c r="E83" i="2"/>
  <c r="E62" i="2"/>
  <c r="E50" i="2"/>
  <c r="D143" i="2"/>
  <c r="F7" i="4"/>
  <c r="E7" i="4"/>
  <c r="D7" i="4"/>
  <c r="E54" i="2"/>
  <c r="D70" i="2" s="1"/>
  <c r="C191" i="2"/>
  <c r="C170" i="2"/>
  <c r="E127" i="2"/>
  <c r="D148" i="2"/>
  <c r="C136" i="2"/>
  <c r="C131" i="2"/>
  <c r="C214" i="2"/>
  <c r="C216" i="2" s="1"/>
  <c r="E216" i="2" s="1"/>
  <c r="D217" i="2" s="1"/>
  <c r="E217" i="2" s="1"/>
  <c r="C132" i="2"/>
  <c r="C148" i="2" s="1"/>
  <c r="A30" i="2"/>
  <c r="A31" i="2"/>
  <c r="A35" i="2"/>
  <c r="E44" i="2"/>
  <c r="D69" i="2" s="1"/>
  <c r="A75" i="2"/>
  <c r="A81" i="2" s="1"/>
  <c r="A76" i="2"/>
  <c r="A82" i="2" s="1"/>
  <c r="E160" i="2"/>
  <c r="E159" i="2"/>
  <c r="E205" i="2"/>
  <c r="E206" i="2"/>
  <c r="C227" i="2" l="1"/>
  <c r="D57" i="2"/>
  <c r="E57" i="2" s="1"/>
  <c r="E58" i="2" s="1"/>
  <c r="C172" i="2"/>
  <c r="C26" i="5"/>
  <c r="C25" i="5"/>
  <c r="C26" i="14" s="1"/>
  <c r="D130" i="2"/>
  <c r="E130" i="2" s="1"/>
  <c r="D158" i="2"/>
  <c r="C176" i="2"/>
  <c r="C178" i="2"/>
  <c r="E76" i="2"/>
  <c r="E132" i="2"/>
  <c r="C150" i="2" s="1"/>
  <c r="E75" i="2"/>
  <c r="E32" i="2"/>
  <c r="E81" i="2"/>
  <c r="E69" i="2"/>
  <c r="E148" i="2"/>
  <c r="E82" i="2"/>
  <c r="D45" i="2"/>
  <c r="E45" i="2" s="1"/>
  <c r="E46" i="2" s="1"/>
  <c r="D47" i="2" s="1"/>
  <c r="C174" i="2"/>
  <c r="C184" i="2"/>
  <c r="E184" i="2" s="1"/>
  <c r="F185" i="2" s="1"/>
  <c r="E20" i="2" s="1"/>
  <c r="E214" i="2"/>
  <c r="D215" i="2" s="1"/>
  <c r="E215" i="2" s="1"/>
  <c r="F218" i="2" s="1"/>
  <c r="F220" i="2" s="1"/>
  <c r="E23" i="2" s="1"/>
  <c r="E143" i="2"/>
  <c r="E70" i="2"/>
  <c r="C27" i="5" l="1"/>
  <c r="C25" i="14"/>
  <c r="C32" i="5"/>
  <c r="C22" i="14" s="1"/>
  <c r="D131" i="2"/>
  <c r="E131" i="2" s="1"/>
  <c r="E158" i="2"/>
  <c r="D161" i="2" s="1"/>
  <c r="E161" i="2" s="1"/>
  <c r="F162" i="2" s="1"/>
  <c r="E18" i="2" s="1"/>
  <c r="C145" i="2"/>
  <c r="C146" i="2" s="1"/>
  <c r="D147" i="2" s="1"/>
  <c r="E147" i="2" s="1"/>
  <c r="F77" i="2"/>
  <c r="E11" i="2" s="1"/>
  <c r="F83" i="2"/>
  <c r="E12" i="2" s="1"/>
  <c r="D135" i="2"/>
  <c r="E135" i="2" s="1"/>
  <c r="D136" i="2" s="1"/>
  <c r="E136" i="2" s="1"/>
  <c r="F71" i="2"/>
  <c r="E10" i="2" s="1"/>
  <c r="D59" i="2"/>
  <c r="C24" i="14" l="1"/>
  <c r="C30" i="14"/>
  <c r="C23" i="14"/>
  <c r="C14" i="14"/>
  <c r="C20" i="14" s="1"/>
  <c r="C29" i="14" s="1"/>
  <c r="E137" i="2"/>
  <c r="D138" i="2" s="1"/>
  <c r="E138" i="2" s="1"/>
  <c r="F139" i="2" s="1"/>
  <c r="E16" i="2" s="1"/>
  <c r="C151" i="2"/>
  <c r="D152" i="2" s="1"/>
  <c r="E152" i="2" s="1"/>
  <c r="E153" i="2" s="1"/>
  <c r="D154" i="2" s="1"/>
  <c r="E154" i="2" s="1"/>
  <c r="F155" i="2" s="1"/>
  <c r="F197" i="2" s="1"/>
  <c r="E17" i="2" l="1"/>
  <c r="E95" i="2" l="1"/>
  <c r="E202" i="2"/>
  <c r="D174" i="2"/>
  <c r="E174" i="2" s="1"/>
  <c r="E172" i="11"/>
  <c r="D176" i="2"/>
  <c r="E176" i="2" s="1"/>
  <c r="E204" i="2"/>
  <c r="E203" i="2"/>
  <c r="E171" i="11"/>
  <c r="E189" i="2"/>
  <c r="E99" i="2"/>
  <c r="E158" i="11"/>
  <c r="D114" i="2"/>
  <c r="E114" i="2" s="1"/>
  <c r="E160" i="11"/>
  <c r="E191" i="2"/>
  <c r="E98" i="2"/>
  <c r="D147" i="11"/>
  <c r="E97" i="2"/>
  <c r="E96" i="2"/>
  <c r="D195" i="11"/>
  <c r="E195" i="11" s="1"/>
  <c r="F196" i="11" s="1"/>
  <c r="F198" i="11" s="1"/>
  <c r="E23" i="11" s="1"/>
  <c r="D178" i="2"/>
  <c r="E178" i="2" s="1"/>
  <c r="E172" i="2"/>
  <c r="E170" i="11"/>
  <c r="D115" i="2"/>
  <c r="E115" i="2" s="1"/>
  <c r="E102" i="2"/>
  <c r="D111" i="2"/>
  <c r="E111" i="2" s="1"/>
  <c r="E94" i="2"/>
  <c r="E101" i="2"/>
  <c r="D170" i="2"/>
  <c r="D110" i="2"/>
  <c r="E110" i="2" s="1"/>
  <c r="E93" i="2"/>
  <c r="E100" i="2"/>
  <c r="F175" i="11" l="1"/>
  <c r="F177" i="11" s="1"/>
  <c r="E21" i="11" s="1"/>
  <c r="D161" i="11"/>
  <c r="E161" i="11" s="1"/>
  <c r="D162" i="11" s="1"/>
  <c r="E162" i="11" s="1"/>
  <c r="F163" i="11" s="1"/>
  <c r="E20" i="11" s="1"/>
  <c r="D192" i="2"/>
  <c r="E192" i="2" s="1"/>
  <c r="D193" i="2" s="1"/>
  <c r="E193" i="2" s="1"/>
  <c r="F194" i="2" s="1"/>
  <c r="E21" i="2" s="1"/>
  <c r="D179" i="2"/>
  <c r="F207" i="2"/>
  <c r="F209" i="2" s="1"/>
  <c r="E22" i="2" s="1"/>
  <c r="D103" i="2"/>
  <c r="E103" i="2" s="1"/>
  <c r="F104" i="2" s="1"/>
  <c r="D148" i="11"/>
  <c r="E147" i="11"/>
  <c r="F149" i="11" s="1"/>
  <c r="E170" i="2"/>
  <c r="F180" i="2" s="1"/>
  <c r="D113" i="2"/>
  <c r="E113" i="2" s="1"/>
  <c r="D112" i="2"/>
  <c r="E112" i="2" s="1"/>
  <c r="D116" i="2" s="1"/>
  <c r="E116" i="2" s="1"/>
  <c r="F117" i="2" s="1"/>
  <c r="E18" i="11" l="1"/>
  <c r="E14" i="11" s="1"/>
  <c r="F165" i="11"/>
  <c r="F119" i="2"/>
  <c r="E19" i="2"/>
  <c r="E14" i="2"/>
  <c r="E13" i="11" l="1"/>
  <c r="E15" i="2"/>
  <c r="E13" i="2"/>
  <c r="C31" i="14" l="1"/>
  <c r="C27" i="14"/>
  <c r="C32" i="14" s="1"/>
  <c r="C48" i="11" s="1"/>
  <c r="E48" i="11" s="1"/>
  <c r="E49" i="11" s="1"/>
  <c r="D50" i="11" s="1"/>
  <c r="E50" i="11" s="1"/>
  <c r="F51" i="11" s="1"/>
  <c r="F71" i="11" l="1"/>
  <c r="E8" i="11"/>
  <c r="C59" i="2"/>
  <c r="E59" i="2" s="1"/>
  <c r="E60" i="2" s="1"/>
  <c r="D61" i="2" s="1"/>
  <c r="E61" i="2" s="1"/>
  <c r="F62" i="2" s="1"/>
  <c r="C47" i="2"/>
  <c r="E47" i="2" s="1"/>
  <c r="E48" i="2" s="1"/>
  <c r="D49" i="2" s="1"/>
  <c r="E49" i="2" s="1"/>
  <c r="F50" i="2" s="1"/>
  <c r="E8" i="2" s="1"/>
  <c r="E7" i="11" l="1"/>
  <c r="F190" i="11"/>
  <c r="F200" i="11" s="1"/>
  <c r="E9" i="2"/>
  <c r="F85" i="2"/>
  <c r="D205" i="11" l="1"/>
  <c r="E205" i="11" s="1"/>
  <c r="F206" i="11" s="1"/>
  <c r="F208" i="11" s="1"/>
  <c r="E24" i="11" s="1"/>
  <c r="F211" i="11"/>
  <c r="F222" i="2"/>
  <c r="E7" i="2"/>
  <c r="E25" i="11" l="1"/>
  <c r="F24" i="11" s="1"/>
  <c r="D227" i="2"/>
  <c r="E227" i="2" s="1"/>
  <c r="F228" i="2" s="1"/>
  <c r="F230" i="2" s="1"/>
  <c r="E24" i="2" s="1"/>
  <c r="E25" i="2" s="1"/>
  <c r="F16" i="11" l="1"/>
  <c r="F11" i="11"/>
  <c r="F18" i="11"/>
  <c r="F21" i="11"/>
  <c r="F20" i="11"/>
  <c r="F19" i="11"/>
  <c r="F15" i="11"/>
  <c r="F9" i="11"/>
  <c r="F22" i="11"/>
  <c r="F10" i="11"/>
  <c r="F12" i="11"/>
  <c r="F17" i="11"/>
  <c r="F23" i="11"/>
  <c r="F13" i="11"/>
  <c r="F14" i="11"/>
  <c r="F8" i="11"/>
  <c r="F7" i="11"/>
  <c r="F10" i="2"/>
  <c r="F23" i="2"/>
  <c r="F19" i="2"/>
  <c r="F11" i="2"/>
  <c r="F18" i="2"/>
  <c r="F21" i="2"/>
  <c r="F14" i="2"/>
  <c r="F20" i="2"/>
  <c r="F17" i="2"/>
  <c r="F12" i="2"/>
  <c r="F16" i="2"/>
  <c r="F15" i="2"/>
  <c r="F22" i="2"/>
  <c r="F13" i="2"/>
  <c r="F8" i="2"/>
  <c r="F9" i="2"/>
  <c r="F7" i="2"/>
  <c r="F233" i="2"/>
  <c r="F24" i="2"/>
  <c r="F25" i="11" l="1"/>
  <c r="F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5" authorId="0" shapeId="0" xr:uid="{00000000-0006-0000-0000-000001000000}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4" authorId="0" shapeId="0" xr:uid="{00000000-0006-0000-0000-000003000000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47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49" authorId="0" shapeId="0" xr:uid="{00000000-0006-0000-0000-000005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54" authorId="0" shapeId="0" xr:uid="{00000000-0006-0000-0000-000006000000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55" authorId="0" shapeId="0" xr:uid="{00000000-0006-0000-0000-000007000000}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56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57" authorId="0" shapeId="0" xr:uid="{00000000-0006-0000-0000-000009000000}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59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1" authorId="0" shapeId="0" xr:uid="{00000000-0006-0000-0000-00000B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67" authorId="0" shapeId="0" xr:uid="{00000000-0006-0000-0000-00000C000000}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68" authorId="0" shapeId="0" xr:uid="{00000000-0006-0000-0000-00000D000000}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69" authorId="0" shapeId="0" xr:uid="{00000000-0006-0000-0000-00000E000000}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70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75" authorId="0" shapeId="0" xr:uid="{00000000-0006-0000-0000-000010000000}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76" authorId="0" shapeId="0" xr:uid="{00000000-0006-0000-0000-000011000000}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81" authorId="0" shapeId="0" xr:uid="{00000000-0006-0000-0000-000012000000}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82" authorId="0" shapeId="0" xr:uid="{00000000-0006-0000-0000-000013000000}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92" authorId="0" shapeId="0" xr:uid="{00000000-0006-0000-0000-000014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92" authorId="0" shapeId="0" xr:uid="{00000000-0006-0000-0000-000015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93" authorId="0" shapeId="0" xr:uid="{00000000-0006-0000-0000-000016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93" authorId="0" shapeId="0" xr:uid="{00000000-0006-0000-0000-000017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94" authorId="0" shapeId="0" xr:uid="{00000000-0006-0000-0000-000018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94" authorId="0" shapeId="0" xr:uid="{00000000-0006-0000-0000-000019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95" authorId="0" shapeId="0" xr:uid="{00000000-0006-0000-0000-00001A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95" authorId="0" shapeId="0" xr:uid="{00000000-0006-0000-0000-00001B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96" authorId="0" shapeId="0" xr:uid="{00000000-0006-0000-0000-00001C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96" authorId="0" shapeId="0" xr:uid="{00000000-0006-0000-0000-00001D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97" authorId="0" shapeId="0" xr:uid="{00000000-0006-0000-0000-00001E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97" authorId="0" shapeId="0" xr:uid="{00000000-0006-0000-0000-00001F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98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98" authorId="0" shapeId="0" xr:uid="{00000000-0006-0000-0000-000021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99" authorId="0" shapeId="0" xr:uid="{00000000-0006-0000-0000-000022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99" authorId="0" shapeId="0" xr:uid="{00000000-0006-0000-0000-000023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0" authorId="0" shapeId="0" xr:uid="{00000000-0006-0000-0000-000024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0" authorId="0" shapeId="0" xr:uid="{00000000-0006-0000-0000-000025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1" authorId="0" shapeId="0" xr:uid="{00000000-0006-0000-0000-000026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1" authorId="0" shapeId="0" xr:uid="{00000000-0006-0000-0000-000027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02" authorId="0" shapeId="0" xr:uid="{00000000-0006-0000-0000-000028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09" authorId="0" shapeId="0" xr:uid="{00000000-0006-0000-0000-000029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10" authorId="0" shapeId="0" xr:uid="{00000000-0006-0000-0000-00002A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11" authorId="0" shapeId="0" xr:uid="{00000000-0006-0000-0000-00002B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12" authorId="0" shapeId="0" xr:uid="{00000000-0006-0000-0000-00002C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13" authorId="0" shapeId="0" xr:uid="{00000000-0006-0000-0000-00002D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14" authorId="0" shapeId="0" xr:uid="{00000000-0006-0000-0000-00002E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5" authorId="0" shapeId="0" xr:uid="{00000000-0006-0000-0000-00002F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27" authorId="0" shapeId="0" xr:uid="{00000000-0006-0000-0000-000030000000}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28" authorId="0" shapeId="0" xr:uid="{00000000-0006-0000-0000-000031000000}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29" authorId="0" shapeId="0" xr:uid="{00000000-0006-0000-0000-000032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30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2" authorId="0" shapeId="0" xr:uid="{00000000-0006-0000-0000-000034000000}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33" authorId="0" shapeId="0" xr:uid="{00000000-0006-0000-0000-000035000000}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34" authorId="0" shapeId="0" xr:uid="{00000000-0006-0000-0000-000036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35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8" authorId="0" shapeId="0" xr:uid="{00000000-0006-0000-0000-000038000000}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44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9" authorId="0" shapeId="0" xr:uid="{00000000-0006-0000-0000-00003A000000}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60" authorId="0" shapeId="0" xr:uid="{00000000-0006-0000-0000-00003B000000}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166" authorId="0" shapeId="0" xr:uid="{00000000-0006-0000-0000-00003C000000}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69" authorId="0" shapeId="0" xr:uid="{00000000-0006-0000-0000-00003D000000}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69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71" authorId="0" shapeId="0" xr:uid="{00000000-0006-0000-0000-00003F000000}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171" authorId="0" shapeId="0" xr:uid="{DDD43FD2-C370-4DE5-A638-12211597FFAC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73" authorId="0" shapeId="0" xr:uid="{00000000-0006-0000-0000-000041000000}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173" authorId="0" shapeId="0" xr:uid="{256FF3BF-9012-4A38-A80D-BA6EE06AE433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75" authorId="0" shapeId="0" xr:uid="{00000000-0006-0000-0000-000043000000}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175" authorId="0" shapeId="0" xr:uid="{1AB1D72A-2EA4-4A2E-A59D-270108F9FB53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77" authorId="0" shapeId="0" xr:uid="{00000000-0006-0000-0000-000045000000}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177" authorId="0" shapeId="0" xr:uid="{00000000-0006-0000-0000-000046000000}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184" authorId="0" shapeId="0" xr:uid="{00000000-0006-0000-0000-000047000000}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189" authorId="0" shapeId="0" xr:uid="{00000000-0006-0000-0000-000048000000}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189" authorId="0" shapeId="0" xr:uid="{00000000-0006-0000-0000-000049000000}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190" authorId="0" shapeId="0" xr:uid="{00000000-0006-0000-0000-00004A000000}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191" authorId="0" shapeId="0" xr:uid="{00000000-0006-0000-0000-00004B000000}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192" authorId="0" shapeId="0" xr:uid="{00000000-0006-0000-0000-00004C000000}">
      <text>
        <r>
          <rPr>
            <sz val="9"/>
            <color indexed="81"/>
            <rFont val="Tahoma"/>
            <family val="2"/>
          </rPr>
          <t xml:space="preserve">Informar a durabilidade média dos pneus considerando todas as recapagens, em km
</t>
        </r>
      </text>
    </comment>
    <comment ref="C202" authorId="0" shapeId="0" xr:uid="{00000000-0006-0000-0000-00004D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02" authorId="0" shapeId="0" xr:uid="{00000000-0006-0000-0000-00004E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03" authorId="0" shapeId="0" xr:uid="{00000000-0006-0000-0000-00004F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03" authorId="0" shapeId="0" xr:uid="{00000000-0006-0000-0000-000050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04" authorId="0" shapeId="0" xr:uid="{00000000-0006-0000-0000-000051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04" authorId="0" shapeId="0" xr:uid="{00000000-0006-0000-0000-000052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05" authorId="0" shapeId="0" xr:uid="{00000000-0006-0000-0000-000053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05" authorId="0" shapeId="0" xr:uid="{00000000-0006-0000-0000-000054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06" authorId="0" shapeId="0" xr:uid="{00000000-0006-0000-0000-000055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06" authorId="0" shapeId="0" xr:uid="{00000000-0006-0000-0000-000056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11" authorId="0" shapeId="0" xr:uid="{00000000-0006-0000-0000-000057000000}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4" authorId="0" shapeId="0" xr:uid="{00000000-0006-0000-0000-000058000000}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16" authorId="0" shapeId="0" xr:uid="{00000000-0006-0000-0000-000059000000}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27" authorId="0" shapeId="0" xr:uid="{00000000-0006-0000-0000-00005A000000}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5" authorId="0" shapeId="0" xr:uid="{B747D51F-A5F8-484F-8593-AE00D654D21D}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" authorId="0" shapeId="0" xr:uid="{A02E80F8-F04E-47D3-99C1-20A153B80D20}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0" shapeId="0" xr:uid="{11693F7A-8EF9-4555-A953-EB2ED743F3A1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44" authorId="0" shapeId="0" xr:uid="{72827487-B22D-4D1C-AE0C-97126521353D}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45" authorId="0" shapeId="0" xr:uid="{B935B0A1-3357-493B-8ABA-275DE7A02DF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46" authorId="0" shapeId="0" xr:uid="{84C228AF-AAD5-4C3C-B795-5D25F087354C}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48" authorId="0" shapeId="0" xr:uid="{01EEF85B-6DB3-4A6A-A046-F1195FBCAE83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50" authorId="0" shapeId="0" xr:uid="{7F695BC8-FBD1-4230-B870-FA5000585544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56" authorId="0" shapeId="0" xr:uid="{177A13E3-8865-4FE6-8242-B8E3F2CC5C2E}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57" authorId="0" shapeId="0" xr:uid="{1C3932C6-483B-4368-8294-3C1E1E8A2E24}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58" authorId="0" shapeId="0" xr:uid="{2FA0D983-87BF-4C05-81FB-F8934DAFF38E}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63" authorId="0" shapeId="0" xr:uid="{6465632F-DDD7-4E48-A080-27AB6E74561A}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68" authorId="0" shapeId="0" xr:uid="{0E4A45B5-ED4A-4D04-BACF-0E02CF3556B4}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79" authorId="0" shapeId="0" xr:uid="{8EB89CB3-DE47-4C97-8002-17D6D07FD502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80" authorId="0" shapeId="0" xr:uid="{64F20787-B629-424C-96DD-EA1CF484A907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81" authorId="0" shapeId="0" xr:uid="{0AEDC69A-2257-45D3-849B-6228EE7B8695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82" authorId="0" shapeId="0" xr:uid="{C4E52C78-3B4A-4913-A233-139EE49D3305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83" authorId="0" shapeId="0" xr:uid="{E5BE454C-5A0D-4DEE-BDD7-EC0113C6F084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84" authorId="0" shapeId="0" xr:uid="{39539576-1727-4AE8-A8C6-B76506A5C6A8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85" authorId="0" shapeId="0" xr:uid="{4EF4DDB9-16D2-44EC-BFE5-6B8B628AE757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96" authorId="0" shapeId="0" xr:uid="{FAE52391-082B-4C9B-9F5D-F2D18947F5AC}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97" authorId="0" shapeId="0" xr:uid="{C387FE6B-28D8-4C99-AF54-C087F8A307C4}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98" authorId="0" shapeId="0" xr:uid="{11F0E843-5E62-4772-AB5E-E8D6607F8593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99" authorId="0" shapeId="0" xr:uid="{58C814CB-DD52-4E9F-AD5C-C8406B2AB8FB}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1" authorId="0" shapeId="0" xr:uid="{75AA19EB-5CEB-48F0-B4B0-1E3F3DBD8D44}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02" authorId="0" shapeId="0" xr:uid="{2499AF5D-EE6B-4665-A7F6-6C7897123E3E}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03" authorId="0" shapeId="0" xr:uid="{9C598D0C-19C1-42EB-B5A6-BC945D7CD287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04" authorId="0" shapeId="0" xr:uid="{5EDA69B9-AD9A-4636-9F60-1EDF84EF42EA}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7" authorId="0" shapeId="0" xr:uid="{D2A513DA-7480-4844-962B-FBC28B9CA350}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13" authorId="0" shapeId="0" xr:uid="{29ABB776-A874-48B2-AD49-5CE919F1C1EE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8" authorId="0" shapeId="0" xr:uid="{9FA584E8-1B77-47E4-9B24-A448B49F0BA4}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29" authorId="0" shapeId="0" xr:uid="{5F79792D-CC60-4AC9-9E7D-55ED94404B09}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135" authorId="0" shapeId="0" xr:uid="{A30533A5-50B4-401A-829E-7A0BD57E5C05}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38" authorId="0" shapeId="0" xr:uid="{F3730B90-AE95-4899-8D49-2A0BAB669E87}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38" authorId="0" shapeId="0" xr:uid="{52525528-3B09-4F21-A051-7FF3167FA2C9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40" authorId="0" shapeId="0" xr:uid="{4C888F02-DA3A-4161-9431-1E2FFF973F7F}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140" authorId="0" shapeId="0" xr:uid="{AAD0BA8B-D35A-4C63-91D6-4B9C84642469}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142" authorId="0" shapeId="0" xr:uid="{D3881864-6058-4156-9517-897C9921B2FF}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142" authorId="0" shapeId="0" xr:uid="{9A552AA8-257E-4AA6-9B86-01076924A620}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144" authorId="0" shapeId="0" xr:uid="{0052FC43-6DF0-4B84-9775-AAB4B96FADA4}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144" authorId="0" shapeId="0" xr:uid="{9444F03B-618B-4D8F-A03C-82E09C4BA85E}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146" authorId="0" shapeId="0" xr:uid="{CB50C14A-5858-4091-B190-E3D84E0CCD9F}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146" authorId="0" shapeId="0" xr:uid="{F1437D74-5CFD-42B2-A1C6-C1B44B9FC35E}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153" authorId="0" shapeId="0" xr:uid="{55C8FA1E-4CB3-41A2-9A57-BE9D1EC8256F}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158" authorId="0" shapeId="0" xr:uid="{87590768-010F-474A-BF17-CD0A0BBF1431}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158" authorId="0" shapeId="0" xr:uid="{E14391DC-71DC-4EB2-A737-E8E9B01CDD20}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159" authorId="0" shapeId="0" xr:uid="{798B9156-E039-45C6-B877-24DC07749B54}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160" authorId="0" shapeId="0" xr:uid="{6A298F64-81D3-4A50-B582-F5F21D0B6099}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161" authorId="0" shapeId="0" xr:uid="{9CDABFE4-821C-43C5-BAFC-10F48BDCB6C2}">
      <text>
        <r>
          <rPr>
            <sz val="9"/>
            <color indexed="81"/>
            <rFont val="Tahoma"/>
            <family val="2"/>
          </rPr>
          <t xml:space="preserve">Informar a durabilidade média dos pneus considerando todas as recapagens, em km
</t>
        </r>
      </text>
    </comment>
    <comment ref="C170" authorId="0" shapeId="0" xr:uid="{6ABFA981-C4A2-4A2D-A063-FFC19DD64D61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170" authorId="0" shapeId="0" xr:uid="{5B0FA9F2-FE34-45E4-A2DE-7241CE63C223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171" authorId="0" shapeId="0" xr:uid="{6FB37EE9-943B-43CF-B58D-BF0A87CE16A9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171" authorId="0" shapeId="0" xr:uid="{45C799F5-7E04-459B-AE4F-089B3FEE4ADF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172" authorId="0" shapeId="0" xr:uid="{20CB19C0-884B-4AB7-B490-DEE5F868FB67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172" authorId="0" shapeId="0" xr:uid="{FEB6DAD6-BFD5-4025-8ABA-1171EA135667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173" authorId="0" shapeId="0" xr:uid="{00AA99F1-8150-4CD3-A9D2-6F71EF63D592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173" authorId="0" shapeId="0" xr:uid="{498B4AEF-73FA-4E39-A7C7-3BED468F015E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174" authorId="0" shapeId="0" xr:uid="{E9EDB4E2-2D83-48EE-A0A8-1BCF6A3D69DF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174" authorId="0" shapeId="0" xr:uid="{F31F2501-BDEE-40F4-AABC-EB5D20666496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179" authorId="0" shapeId="0" xr:uid="{BB869806-835F-4C55-944D-1EBBD6BD96B9}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2" authorId="0" shapeId="0" xr:uid="{C9BEC198-7CC6-4D6C-AD21-9A1BFC5F97AF}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184" authorId="0" shapeId="0" xr:uid="{1DBD92AC-70C9-4207-83E9-67AFFA66476E}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195" authorId="0" shapeId="0" xr:uid="{B0259594-C360-4887-9346-7C00467CB1D9}">
      <text>
        <r>
          <rPr>
            <sz val="9"/>
            <color indexed="81"/>
            <rFont val="Tahoma"/>
            <family val="2"/>
          </rPr>
          <t>Preencher a aba 7.Dimensionamento</t>
        </r>
      </text>
    </comment>
    <comment ref="C205" authorId="0" shapeId="0" xr:uid="{07188DB7-7C2B-48EB-BC46-B2EDBD1691DC}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C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cbridi</author>
    <author>Clauber Bridi</author>
    <author>Omar</author>
  </authors>
  <commentList>
    <comment ref="C10" authorId="0" shapeId="0" xr:uid="{3730B3FA-0CDC-41FE-B665-6E7119E17D3E}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1" authorId="1" shapeId="0" xr:uid="{408B638B-391E-453E-9CE9-681AB1D146DA}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2" authorId="2" shapeId="0" xr:uid="{DB7A8295-4BAF-4D5C-BEFF-3EB03828DD79}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4" authorId="0" shapeId="0" xr:uid="{AA4A915B-B72D-4881-8245-B8F2988631D0}">
      <text>
        <r>
          <rPr>
            <b/>
            <sz val="8"/>
            <color indexed="81"/>
            <rFont val="Tahoma"/>
            <family val="2"/>
          </rPr>
          <t>Informe o número de dias de coleta por semana</t>
        </r>
      </text>
    </comment>
    <comment ref="C17" authorId="0" shapeId="0" xr:uid="{31D84E8A-7B02-415A-962D-274C75F49A5C}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18" authorId="0" shapeId="0" xr:uid="{F2E3188F-FED3-4B15-985A-576292B5B15F}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1" authorId="1" shapeId="0" xr:uid="{CBC8B5AE-99E2-41EB-A0BB-A0BAD2352F39}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<sst xmlns="http://schemas.openxmlformats.org/spreadsheetml/2006/main" count="783" uniqueCount="319">
  <si>
    <t>Adicional de Insalubridade</t>
  </si>
  <si>
    <t>%</t>
  </si>
  <si>
    <t>Soma</t>
  </si>
  <si>
    <t>Encargos Sociais</t>
  </si>
  <si>
    <t>Total do Efetivo</t>
  </si>
  <si>
    <t>homem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</si>
  <si>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</si>
  <si>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</si>
  <si>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</si>
  <si>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</si>
  <si>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</si>
  <si>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</si>
  <si>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</si>
  <si>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</si>
  <si>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</si>
  <si>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</si>
  <si>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</si>
  <si>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</si>
  <si>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</si>
  <si>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</si>
  <si>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</si>
  <si>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</si>
  <si>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</si>
  <si>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</si>
  <si>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</si>
  <si>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</si>
  <si>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Vassoura</t>
  </si>
  <si>
    <t>Calça</t>
  </si>
  <si>
    <t>Camiseta</t>
  </si>
  <si>
    <t>Boné</t>
  </si>
  <si>
    <t>Luva de proteção</t>
  </si>
  <si>
    <t>R$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</si>
  <si>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</si>
  <si>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</si>
  <si>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</si>
  <si>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</si>
  <si>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</si>
  <si>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</si>
  <si>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</si>
  <si>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</si>
  <si>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</si>
  <si>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</si>
  <si>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</si>
  <si>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</si>
  <si>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</si>
  <si>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</si>
  <si>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</si>
  <si>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</si>
  <si>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</si>
  <si>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</si>
  <si>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</si>
  <si>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</si>
  <si>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</si>
  <si>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</si>
  <si>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</si>
  <si>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</si>
  <si>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</si>
  <si>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</si>
  <si>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</si>
  <si>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</si>
  <si>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</si>
  <si>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</si>
  <si>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</si>
  <si>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</si>
  <si>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</si>
  <si>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</si>
  <si>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</si>
  <si>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</si>
  <si>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</si>
  <si>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</si>
  <si>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</si>
  <si>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</si>
  <si>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</si>
  <si>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</si>
  <si>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</si>
  <si>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</si>
  <si>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</si>
  <si>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</si>
  <si>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</si>
  <si>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</si>
  <si>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</si>
  <si>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</si>
  <si>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</si>
  <si>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</si>
  <si>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</si>
  <si>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</si>
  <si>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</si>
  <si>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</si>
  <si>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Vale Transporte</t>
  </si>
  <si>
    <t>Dias Trabalhados por mês</t>
  </si>
  <si>
    <t>dia</t>
  </si>
  <si>
    <t>Custo Mensal com Mão-de-obra (R$/mês)</t>
  </si>
  <si>
    <t>Meia de algodão com cano alto</t>
  </si>
  <si>
    <t>Custo do jogo de pneus xxx/xx Rxx</t>
  </si>
  <si>
    <t>Quantitativos</t>
  </si>
  <si>
    <t>1.1. Coletor Turno Dia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</si>
  <si>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</si>
  <si>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</si>
  <si>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</si>
  <si>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</si>
  <si>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</si>
  <si>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</si>
  <si>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</si>
  <si>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</si>
  <si>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</si>
  <si>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</si>
  <si>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</si>
  <si>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</si>
  <si>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</si>
  <si>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</si>
  <si>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</si>
  <si>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</si>
  <si>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</si>
  <si>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</si>
  <si>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</si>
  <si>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</si>
  <si>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</si>
  <si>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</si>
  <si>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</si>
  <si>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</si>
  <si>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</si>
  <si>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</si>
  <si>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</si>
  <si>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</si>
  <si>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</si>
  <si>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</si>
  <si>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</si>
  <si>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</si>
  <si>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</si>
  <si>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</si>
  <si>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</si>
  <si>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</si>
  <si>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</si>
  <si>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</si>
  <si>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</si>
  <si>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</si>
  <si>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</si>
  <si>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</si>
  <si>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</si>
  <si>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</si>
  <si>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</si>
  <si>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</si>
  <si>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</si>
  <si>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</si>
  <si>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</si>
  <si>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</si>
  <si>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</si>
  <si>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</si>
  <si>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</si>
  <si>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</si>
  <si>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</si>
  <si>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</si>
  <si>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</si>
  <si>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</si>
  <si>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</si>
  <si>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</si>
  <si>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</si>
  <si>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</si>
  <si>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</si>
  <si>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</si>
  <si>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</si>
  <si>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</si>
  <si>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</si>
  <si>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</si>
  <si>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</si>
  <si>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</si>
  <si>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</si>
  <si>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</si>
  <si>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</si>
  <si>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</si>
  <si>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</si>
  <si>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</si>
  <si>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</si>
  <si>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</si>
  <si>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</si>
  <si>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</si>
  <si>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</si>
  <si>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</si>
  <si>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</si>
  <si>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</si>
  <si>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</si>
  <si>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</si>
  <si>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</si>
  <si>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</si>
  <si>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</si>
  <si>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</si>
  <si>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</si>
  <si>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</si>
  <si>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</si>
  <si>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</si>
  <si>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</si>
  <si>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</si>
  <si>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</si>
  <si>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</si>
  <si>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</si>
  <si>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</si>
  <si>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</si>
  <si>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Rio Grande do Sul  - Coleta de Resíduos Não-Perigosos - CNAE 38114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</si>
  <si>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</si>
  <si>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</si>
  <si>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</si>
  <si>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</si>
  <si>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</si>
  <si>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</si>
  <si>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</si>
  <si>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</si>
  <si>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C2</t>
  </si>
  <si>
    <t>B3</t>
  </si>
  <si>
    <t xml:space="preserve">1. Coleta de Resíduos Sólidos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</si>
  <si>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</si>
  <si>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</si>
  <si>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</si>
  <si>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</si>
  <si>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</si>
  <si>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</si>
  <si>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</si>
  <si>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</si>
  <si>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</si>
  <si>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</si>
  <si>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</si>
  <si>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</si>
  <si>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</si>
  <si>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</si>
  <si>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</si>
  <si>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</si>
  <si>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</si>
  <si>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</si>
  <si>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</si>
  <si>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</si>
  <si>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</si>
  <si>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</si>
  <si>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1/3 de férias (dias)</t>
  </si>
  <si>
    <t>Férias (dias)</t>
  </si>
  <si>
    <t>13º Salário (dias)</t>
  </si>
  <si>
    <t>Referência estudo TCE</t>
  </si>
  <si>
    <t>Rotatividade temporal (meses)</t>
  </si>
  <si>
    <t>Fórmula de cálculo da remuneração de capital:</t>
  </si>
  <si>
    <t>Total por Motorista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</si>
  <si>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</si>
  <si>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</si>
  <si>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</si>
  <si>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</si>
  <si>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</si>
  <si>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</si>
  <si>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</si>
  <si>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</si>
  <si>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</si>
  <si>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</si>
  <si>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</si>
  <si>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</si>
  <si>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</si>
  <si>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</si>
  <si>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</si>
  <si>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</si>
  <si>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</si>
  <si>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</si>
  <si>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</si>
  <si>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</si>
  <si>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</si>
  <si>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</si>
  <si>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</si>
  <si>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</si>
  <si>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</si>
  <si>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</si>
  <si>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</si>
  <si>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</si>
  <si>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</si>
  <si>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</si>
  <si>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</si>
  <si>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>Reincidência de FGTS sobre aviso prévio indenizado</t>
  </si>
  <si>
    <t>Piso da categoria (2)</t>
  </si>
  <si>
    <t>Salário mínimo nacional (1)</t>
  </si>
  <si>
    <t>% Demitidos s/ Justa Causa em relação ao Estoque Médio</t>
  </si>
  <si>
    <t>Taxa de Rotatividade</t>
  </si>
  <si>
    <t>Acordo</t>
  </si>
  <si>
    <t>Variação Emprego Absoluta de 01-01-2019 a 31-12-2019</t>
  </si>
  <si>
    <t>Estoque recuperado início do Período 01-01-2019</t>
  </si>
  <si>
    <t>Estoque recuperado final do Período 31-12-2019</t>
  </si>
  <si>
    <t>Dimensionamento da frota</t>
  </si>
  <si>
    <t>Multa FGTS ajustada de acordo com a nova Lei Federal nº 13.932/2019</t>
  </si>
  <si>
    <t>1)Tendo em vista que o CAGED foi descontinuado em janeiro de 2020, esta planilha foi atualizada até 31/12/2019.)</t>
  </si>
  <si>
    <t>1.2. Motorista Turno do Dia</t>
  </si>
  <si>
    <t>1.3. Vale Transporte</t>
  </si>
  <si>
    <t>1.4. Vale-refeição (diário)</t>
  </si>
  <si>
    <t>1.5. Auxílio Alimentação (mensal)</t>
  </si>
  <si>
    <r>
      <t>Custo jg. compl. +2</t>
    </r>
    <r>
      <rPr>
        <sz val="10"/>
        <rFont val="Arial"/>
        <family val="2"/>
      </rPr>
      <t xml:space="preserve"> recap./ km rodado</t>
    </r>
  </si>
  <si>
    <t>Publicidade</t>
  </si>
  <si>
    <t>7. Benefícios e Despesas Indiretas - BDI</t>
  </si>
  <si>
    <t>6. Destinação em Aterro Sanitário</t>
  </si>
  <si>
    <t>CUSTO TOTAL MENSAL COM DESTINAÇÃO FINAL(R$/mês)</t>
  </si>
  <si>
    <t>CUSTO TOTAL MENSAL COM ATERRO SANITÁRIO(R$/mês)</t>
  </si>
  <si>
    <t>1.1. Motorista Turno do Dia</t>
  </si>
  <si>
    <t>1.2. Vale Transporte</t>
  </si>
  <si>
    <t>2.2. Uniformes e EPIs para Motorista</t>
  </si>
  <si>
    <t xml:space="preserve">Custo do jogo de pneus 275/80 R 22,5 </t>
  </si>
  <si>
    <t xml:space="preserve">1. Transporte e Destinação Final de Resíduos Sólidos </t>
  </si>
  <si>
    <t>Orientações para preenchimento Planilhas de Custos</t>
  </si>
  <si>
    <t>As células com fundo branco não podem ser alteradas;</t>
  </si>
  <si>
    <t>As células com fundo azul com valores gerados por outras planilhas(de 2. a 7.) ;</t>
  </si>
  <si>
    <t>1.</t>
  </si>
  <si>
    <t>2.</t>
  </si>
  <si>
    <t>3.</t>
  </si>
  <si>
    <t>4.</t>
  </si>
  <si>
    <t>5.</t>
  </si>
  <si>
    <t>6.</t>
  </si>
  <si>
    <t>7.</t>
  </si>
  <si>
    <t>Planilhas prontas para impressão sendo necessário somente preenchimento;</t>
  </si>
  <si>
    <t>Todas as planilhas devem ser em papel timbrado da empresa</t>
  </si>
  <si>
    <t>Todas as planilhas devem ser em assinadas pelo reponsável técnico e representante legal</t>
  </si>
  <si>
    <r>
      <t>3.1. Veículo Coletor Caminhão Caçamba</t>
    </r>
    <r>
      <rPr>
        <sz val="10"/>
        <color indexed="10"/>
        <rFont val="Arial"/>
        <family val="2"/>
      </rPr>
      <t xml:space="preserve"> </t>
    </r>
    <r>
      <rPr>
        <sz val="10"/>
        <color theme="1"/>
        <rFont val="Arial"/>
        <family val="2"/>
      </rPr>
      <t>12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m³</t>
    </r>
  </si>
  <si>
    <t>3Custo de aquisição da caçamba 12m³</t>
  </si>
  <si>
    <t>3.1.  Veículo Coletor Caminhão Caçamba 12 m³</t>
  </si>
  <si>
    <t>Custo de aquisição da Caçamba 12m³</t>
  </si>
  <si>
    <t>Vida útil da Caçamba 12m³</t>
  </si>
  <si>
    <t>Idade da Caçamba 12m³</t>
  </si>
  <si>
    <t>Depreciação da Caçamba 12m³</t>
  </si>
  <si>
    <t>Depreciação mensal da Caçamba 12m³</t>
  </si>
  <si>
    <t>Somente prencher as células com fundo amarelo nas planilhas 1. e 2.;</t>
  </si>
  <si>
    <t>As planilhas de 2. a 7. são as referências do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</si>
</sst>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FF0000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7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6" fillId="0" borderId="0" xfId="3" applyFont="1"/>
    <xf numFmtId="165" fontId="0" fillId="0" borderId="9" xfId="3" applyFont="1" applyBorder="1" applyAlignment="1">
      <alignment vertical="center"/>
    </xf>
    <xf numFmtId="165" fontId="3" fillId="0" borderId="10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horizontal="centerContinuous" vertical="center"/>
    </xf>
    <xf numFmtId="165" fontId="0" fillId="0" borderId="8" xfId="3" applyFont="1" applyBorder="1" applyAlignment="1">
      <alignment vertical="center"/>
    </xf>
    <xf numFmtId="165" fontId="3" fillId="0" borderId="11" xfId="3" applyFont="1" applyBorder="1" applyAlignment="1">
      <alignment horizontal="right" vertical="center"/>
    </xf>
    <xf numFmtId="165" fontId="0" fillId="0" borderId="12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3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165" fontId="12" fillId="2" borderId="15" xfId="3" applyFont="1" applyFill="1" applyBorder="1" applyAlignment="1">
      <alignment horizontal="center" vertical="center"/>
    </xf>
    <xf numFmtId="165" fontId="12" fillId="2" borderId="16" xfId="3" applyFont="1" applyFill="1" applyBorder="1" applyAlignment="1">
      <alignment horizontal="center" vertical="center"/>
    </xf>
    <xf numFmtId="165" fontId="3" fillId="0" borderId="17" xfId="3" applyFont="1" applyBorder="1" applyAlignment="1">
      <alignment horizontal="center" vertical="center"/>
    </xf>
    <xf numFmtId="165" fontId="1" fillId="0" borderId="12" xfId="3" applyFont="1" applyBorder="1" applyAlignment="1">
      <alignment horizontal="left" vertical="center"/>
    </xf>
    <xf numFmtId="165" fontId="6" fillId="0" borderId="8" xfId="3" applyFont="1" applyBorder="1" applyAlignment="1">
      <alignment vertical="center"/>
    </xf>
    <xf numFmtId="165" fontId="6" fillId="0" borderId="12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8" xfId="3" applyNumberFormat="1" applyFont="1" applyBorder="1" applyAlignment="1">
      <alignment horizontal="center" vertical="center"/>
    </xf>
    <xf numFmtId="165" fontId="3" fillId="0" borderId="26" xfId="3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165" fontId="6" fillId="0" borderId="17" xfId="3" applyFont="1" applyBorder="1" applyAlignment="1">
      <alignment vertical="center"/>
    </xf>
    <xf numFmtId="165" fontId="6" fillId="0" borderId="9" xfId="3" applyFont="1" applyBorder="1" applyAlignment="1">
      <alignment vertical="center"/>
    </xf>
    <xf numFmtId="0" fontId="0" fillId="0" borderId="9" xfId="0" applyBorder="1" applyAlignment="1">
      <alignment vertical="center"/>
    </xf>
    <xf numFmtId="1" fontId="6" fillId="0" borderId="10" xfId="3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vertical="center"/>
    </xf>
    <xf numFmtId="1" fontId="3" fillId="0" borderId="29" xfId="3" applyNumberFormat="1" applyFont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65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165" fontId="12" fillId="2" borderId="31" xfId="3" applyFont="1" applyFill="1" applyBorder="1" applyAlignment="1">
      <alignment horizontal="center" vertical="center"/>
    </xf>
    <xf numFmtId="165" fontId="6" fillId="0" borderId="0" xfId="3" applyFont="1" applyFill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164" fontId="3" fillId="0" borderId="32" xfId="0" applyNumberFormat="1" applyFont="1" applyBorder="1" applyAlignment="1">
      <alignment vertical="center"/>
    </xf>
    <xf numFmtId="165" fontId="3" fillId="0" borderId="33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2" xfId="3" applyFont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165" fontId="3" fillId="0" borderId="8" xfId="3" applyFont="1" applyBorder="1" applyAlignment="1">
      <alignment vertical="center"/>
    </xf>
    <xf numFmtId="10" fontId="3" fillId="0" borderId="13" xfId="2" applyNumberFormat="1" applyFont="1" applyBorder="1" applyAlignment="1">
      <alignment vertical="center"/>
    </xf>
    <xf numFmtId="165" fontId="3" fillId="0" borderId="36" xfId="3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165" fontId="6" fillId="0" borderId="37" xfId="3" applyFont="1" applyBorder="1" applyAlignment="1">
      <alignment vertical="center"/>
    </xf>
    <xf numFmtId="165" fontId="6" fillId="0" borderId="38" xfId="3" applyFont="1" applyBorder="1" applyAlignment="1">
      <alignment vertical="center"/>
    </xf>
    <xf numFmtId="165" fontId="6" fillId="0" borderId="39" xfId="3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1" fontId="6" fillId="0" borderId="35" xfId="3" applyNumberFormat="1" applyFont="1" applyBorder="1" applyAlignment="1">
      <alignment horizontal="center" vertical="center"/>
    </xf>
    <xf numFmtId="165" fontId="3" fillId="0" borderId="12" xfId="3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Continuous" vertical="center"/>
    </xf>
    <xf numFmtId="165" fontId="6" fillId="6" borderId="1" xfId="3" applyFont="1" applyFill="1" applyBorder="1" applyAlignment="1">
      <alignment horizontal="center" vertical="center"/>
    </xf>
    <xf numFmtId="165" fontId="6" fillId="6" borderId="1" xfId="3" applyFont="1" applyFill="1" applyBorder="1" applyAlignment="1">
      <alignment vertical="center"/>
    </xf>
    <xf numFmtId="10" fontId="6" fillId="0" borderId="13" xfId="2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36" xfId="0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7" xfId="3" applyFont="1" applyFill="1" applyBorder="1" applyAlignment="1">
      <alignment vertical="center"/>
    </xf>
    <xf numFmtId="166" fontId="3" fillId="0" borderId="0" xfId="3" applyNumberFormat="1" applyFont="1" applyBorder="1" applyAlignment="1">
      <alignment horizontal="center" vertical="center"/>
    </xf>
    <xf numFmtId="2" fontId="18" fillId="7" borderId="1" xfId="0" applyNumberFormat="1" applyFont="1" applyFill="1" applyBorder="1" applyAlignment="1">
      <alignment horizontal="right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2" fontId="18" fillId="7" borderId="34" xfId="0" applyNumberFormat="1" applyFont="1" applyFill="1" applyBorder="1" applyAlignment="1">
      <alignment horizontal="right" vertical="center"/>
    </xf>
    <xf numFmtId="0" fontId="18" fillId="0" borderId="2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0" fontId="18" fillId="0" borderId="18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10" fontId="22" fillId="0" borderId="18" xfId="0" applyNumberFormat="1" applyFont="1" applyBorder="1" applyAlignment="1">
      <alignment horizontal="right" vertical="center"/>
    </xf>
    <xf numFmtId="0" fontId="18" fillId="5" borderId="21" xfId="0" applyFont="1" applyFill="1" applyBorder="1" applyAlignment="1">
      <alignment horizontal="left" vertical="center"/>
    </xf>
    <xf numFmtId="0" fontId="22" fillId="5" borderId="1" xfId="0" applyFont="1" applyFill="1" applyBorder="1" applyAlignment="1">
      <alignment horizontal="left" vertical="center"/>
    </xf>
    <xf numFmtId="10" fontId="22" fillId="5" borderId="18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10" fontId="6" fillId="0" borderId="0" xfId="0" applyNumberFormat="1" applyFont="1"/>
    <xf numFmtId="9" fontId="18" fillId="0" borderId="0" xfId="2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 wrapText="1"/>
    </xf>
    <xf numFmtId="0" fontId="18" fillId="9" borderId="22" xfId="0" applyFont="1" applyFill="1" applyBorder="1" applyAlignment="1">
      <alignment horizontal="left" vertical="center"/>
    </xf>
    <xf numFmtId="0" fontId="22" fillId="9" borderId="34" xfId="0" applyFont="1" applyFill="1" applyBorder="1" applyAlignment="1">
      <alignment horizontal="left" vertical="center"/>
    </xf>
    <xf numFmtId="10" fontId="22" fillId="9" borderId="35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10" fontId="22" fillId="0" borderId="0" xfId="0" applyNumberFormat="1" applyFont="1" applyAlignment="1">
      <alignment horizontal="right" vertical="center"/>
    </xf>
    <xf numFmtId="0" fontId="24" fillId="4" borderId="0" xfId="0" applyFont="1" applyFill="1" applyAlignment="1">
      <alignment horizontal="left" vertical="center"/>
    </xf>
    <xf numFmtId="10" fontId="18" fillId="0" borderId="0" xfId="0" applyNumberFormat="1" applyFont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25" fillId="0" borderId="0" xfId="0" applyFont="1" applyAlignment="1">
      <alignment horizontal="justify" vertical="center"/>
    </xf>
    <xf numFmtId="0" fontId="8" fillId="0" borderId="0" xfId="1" applyBorder="1" applyAlignment="1" applyProtection="1">
      <alignment horizontal="left" vertical="center"/>
    </xf>
    <xf numFmtId="0" fontId="26" fillId="0" borderId="0" xfId="0" applyFont="1"/>
    <xf numFmtId="0" fontId="18" fillId="0" borderId="0" xfId="0" applyFont="1" applyAlignment="1">
      <alignment horizontal="right" vertical="center"/>
    </xf>
    <xf numFmtId="0" fontId="8" fillId="0" borderId="0" xfId="1" applyBorder="1" applyAlignment="1" applyProtection="1">
      <alignment vertical="center"/>
    </xf>
    <xf numFmtId="0" fontId="5" fillId="0" borderId="21" xfId="0" applyFont="1" applyBorder="1"/>
    <xf numFmtId="0" fontId="5" fillId="0" borderId="36" xfId="0" applyFont="1" applyBorder="1"/>
    <xf numFmtId="0" fontId="7" fillId="0" borderId="36" xfId="0" applyFont="1" applyBorder="1" applyAlignment="1">
      <alignment horizontal="left" vertical="center"/>
    </xf>
    <xf numFmtId="9" fontId="5" fillId="0" borderId="21" xfId="2" applyFont="1" applyBorder="1"/>
    <xf numFmtId="9" fontId="5" fillId="0" borderId="1" xfId="2" applyFont="1" applyBorder="1" applyAlignment="1">
      <alignment horizontal="center"/>
    </xf>
    <xf numFmtId="9" fontId="5" fillId="0" borderId="18" xfId="2" applyFont="1" applyBorder="1"/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10" fontId="5" fillId="0" borderId="18" xfId="2" applyNumberFormat="1" applyFont="1" applyBorder="1"/>
    <xf numFmtId="0" fontId="5" fillId="0" borderId="2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/>
    <xf numFmtId="0" fontId="5" fillId="0" borderId="22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10" fontId="5" fillId="0" borderId="25" xfId="0" applyNumberFormat="1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1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8" xfId="2" applyNumberFormat="1" applyFont="1" applyBorder="1" applyAlignment="1">
      <alignment horizontal="right"/>
    </xf>
    <xf numFmtId="10" fontId="5" fillId="0" borderId="22" xfId="2" applyNumberFormat="1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0" fontId="6" fillId="0" borderId="50" xfId="0" applyFont="1" applyBorder="1"/>
    <xf numFmtId="0" fontId="19" fillId="0" borderId="50" xfId="0" applyFont="1" applyBorder="1" applyAlignment="1">
      <alignment horizontal="justify"/>
    </xf>
    <xf numFmtId="0" fontId="19" fillId="0" borderId="51" xfId="0" applyFont="1" applyBorder="1" applyAlignment="1">
      <alignment horizontal="justify"/>
    </xf>
    <xf numFmtId="0" fontId="16" fillId="10" borderId="49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" fillId="0" borderId="34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8" xfId="3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3" fillId="0" borderId="52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165" fontId="3" fillId="0" borderId="52" xfId="3" applyFont="1" applyBorder="1" applyAlignment="1">
      <alignment horizontal="center" vertical="center"/>
    </xf>
    <xf numFmtId="165" fontId="3" fillId="0" borderId="52" xfId="3" applyFont="1" applyFill="1" applyBorder="1" applyAlignment="1">
      <alignment horizontal="center" vertical="center"/>
    </xf>
    <xf numFmtId="0" fontId="7" fillId="0" borderId="21" xfId="0" applyFont="1" applyBorder="1"/>
    <xf numFmtId="0" fontId="7" fillId="0" borderId="1" xfId="0" applyFont="1" applyBorder="1"/>
    <xf numFmtId="0" fontId="7" fillId="0" borderId="18" xfId="0" applyFont="1" applyBorder="1"/>
    <xf numFmtId="0" fontId="5" fillId="0" borderId="1" xfId="0" applyFont="1" applyBorder="1"/>
    <xf numFmtId="0" fontId="5" fillId="0" borderId="34" xfId="0" applyFont="1" applyBorder="1"/>
    <xf numFmtId="171" fontId="5" fillId="0" borderId="35" xfId="0" applyNumberFormat="1" applyFont="1" applyBorder="1"/>
    <xf numFmtId="0" fontId="5" fillId="0" borderId="21" xfId="0" applyFont="1" applyBorder="1" applyAlignment="1">
      <alignment horizontal="right"/>
    </xf>
    <xf numFmtId="0" fontId="1" fillId="0" borderId="2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7" fillId="0" borderId="45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10" fontId="17" fillId="0" borderId="18" xfId="2" applyNumberFormat="1" applyFont="1" applyBorder="1" applyAlignment="1">
      <alignment vertical="center"/>
    </xf>
    <xf numFmtId="169" fontId="7" fillId="0" borderId="18" xfId="0" applyNumberFormat="1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9" fontId="17" fillId="0" borderId="18" xfId="2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9" fontId="7" fillId="0" borderId="29" xfId="2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5" fontId="6" fillId="3" borderId="1" xfId="3" applyFont="1" applyFill="1" applyBorder="1" applyAlignment="1">
      <alignment vertical="center"/>
    </xf>
    <xf numFmtId="165" fontId="1" fillId="0" borderId="1" xfId="3" applyFont="1" applyBorder="1" applyAlignment="1">
      <alignment horizontal="center" vertical="center"/>
    </xf>
    <xf numFmtId="165" fontId="1" fillId="3" borderId="1" xfId="3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0" fontId="3" fillId="0" borderId="16" xfId="2" applyNumberFormat="1" applyFont="1" applyBorder="1" applyAlignment="1">
      <alignment vertical="center"/>
    </xf>
    <xf numFmtId="13" fontId="6" fillId="0" borderId="1" xfId="0" applyNumberFormat="1" applyFont="1" applyBorder="1" applyAlignment="1">
      <alignment horizontal="center" vertical="center"/>
    </xf>
    <xf numFmtId="165" fontId="6" fillId="0" borderId="1" xfId="3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6" fillId="0" borderId="2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5" fillId="0" borderId="22" xfId="0" applyFont="1" applyBorder="1"/>
    <xf numFmtId="0" fontId="5" fillId="0" borderId="46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170" fontId="23" fillId="0" borderId="18" xfId="3" applyNumberFormat="1" applyFont="1" applyFill="1" applyBorder="1" applyAlignment="1">
      <alignment horizontal="center" vertical="center" wrapText="1"/>
    </xf>
    <xf numFmtId="171" fontId="5" fillId="0" borderId="18" xfId="0" applyNumberFormat="1" applyFont="1" applyBorder="1"/>
    <xf numFmtId="2" fontId="5" fillId="0" borderId="18" xfId="0" applyNumberFormat="1" applyFont="1" applyBorder="1"/>
    <xf numFmtId="172" fontId="5" fillId="0" borderId="18" xfId="0" applyNumberFormat="1" applyFont="1" applyBorder="1"/>
    <xf numFmtId="0" fontId="30" fillId="0" borderId="0" xfId="0" applyFont="1" applyAlignment="1">
      <alignment vertical="center"/>
    </xf>
    <xf numFmtId="0" fontId="30" fillId="0" borderId="54" xfId="0" applyFont="1" applyBorder="1" applyAlignment="1">
      <alignment vertical="center"/>
    </xf>
    <xf numFmtId="0" fontId="30" fillId="0" borderId="55" xfId="0" applyFont="1" applyBorder="1" applyAlignment="1">
      <alignment vertical="center"/>
    </xf>
    <xf numFmtId="0" fontId="30" fillId="0" borderId="56" xfId="0" applyFont="1" applyBorder="1" applyAlignment="1">
      <alignment vertical="center"/>
    </xf>
    <xf numFmtId="0" fontId="30" fillId="0" borderId="58" xfId="0" applyFont="1" applyBorder="1" applyAlignment="1">
      <alignment vertical="center"/>
    </xf>
    <xf numFmtId="0" fontId="30" fillId="0" borderId="57" xfId="0" applyFont="1" applyBorder="1" applyAlignment="1">
      <alignment vertical="center"/>
    </xf>
    <xf numFmtId="0" fontId="30" fillId="0" borderId="59" xfId="0" applyFont="1" applyBorder="1" applyAlignment="1">
      <alignment vertical="center"/>
    </xf>
    <xf numFmtId="0" fontId="30" fillId="0" borderId="60" xfId="0" applyFont="1" applyBorder="1" applyAlignment="1">
      <alignment vertical="center"/>
    </xf>
    <xf numFmtId="0" fontId="30" fillId="0" borderId="61" xfId="0" applyFont="1" applyBorder="1" applyAlignment="1">
      <alignment vertical="center"/>
    </xf>
    <xf numFmtId="10" fontId="5" fillId="3" borderId="10" xfId="0" applyNumberFormat="1" applyFont="1" applyFill="1" applyBorder="1" applyAlignment="1">
      <alignment horizontal="center" vertical="center"/>
    </xf>
    <xf numFmtId="10" fontId="5" fillId="3" borderId="18" xfId="0" applyNumberFormat="1" applyFont="1" applyFill="1" applyBorder="1" applyAlignment="1">
      <alignment horizontal="center" vertical="center"/>
    </xf>
    <xf numFmtId="10" fontId="5" fillId="3" borderId="35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10" fontId="5" fillId="0" borderId="18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58" xfId="0" applyFont="1" applyBorder="1" applyAlignment="1">
      <alignment horizontal="left" vertical="center"/>
    </xf>
    <xf numFmtId="10" fontId="3" fillId="0" borderId="7" xfId="2" applyNumberFormat="1" applyFont="1" applyFill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16" fillId="0" borderId="5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0" fillId="0" borderId="5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5" fontId="3" fillId="0" borderId="12" xfId="3" applyFont="1" applyBorder="1" applyAlignment="1">
      <alignment horizontal="left" vertical="center"/>
    </xf>
    <xf numFmtId="165" fontId="3" fillId="0" borderId="8" xfId="3" applyFont="1" applyBorder="1" applyAlignment="1">
      <alignment horizontal="left" vertical="center"/>
    </xf>
    <xf numFmtId="0" fontId="16" fillId="8" borderId="23" xfId="0" applyFont="1" applyFill="1" applyBorder="1" applyAlignment="1">
      <alignment horizontal="center" vertical="center"/>
    </xf>
    <xf numFmtId="0" fontId="16" fillId="8" borderId="24" xfId="0" applyFont="1" applyFill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1" xfId="3" applyFont="1" applyBorder="1" applyAlignment="1">
      <alignment horizontal="center" vertical="center"/>
    </xf>
    <xf numFmtId="165" fontId="4" fillId="8" borderId="5" xfId="3" applyFont="1" applyFill="1" applyBorder="1" applyAlignment="1">
      <alignment horizontal="center" vertical="center"/>
    </xf>
    <xf numFmtId="165" fontId="4" fillId="8" borderId="6" xfId="3" applyFont="1" applyFill="1" applyBorder="1" applyAlignment="1">
      <alignment horizontal="center" vertical="center"/>
    </xf>
    <xf numFmtId="165" fontId="4" fillId="8" borderId="7" xfId="3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6" fillId="8" borderId="19" xfId="0" applyFont="1" applyFill="1" applyBorder="1" applyAlignment="1">
      <alignment horizontal="center" vertical="center"/>
    </xf>
    <xf numFmtId="0" fontId="16" fillId="8" borderId="20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6" fillId="10" borderId="17" xfId="0" applyFont="1" applyFill="1" applyBorder="1" applyAlignment="1">
      <alignment horizontal="center" vertical="center"/>
    </xf>
    <xf numFmtId="0" fontId="16" fillId="10" borderId="44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9" fontId="7" fillId="0" borderId="19" xfId="2" applyFont="1" applyBorder="1" applyAlignment="1">
      <alignment horizontal="center"/>
    </xf>
    <xf numFmtId="9" fontId="7" fillId="0" borderId="20" xfId="2" applyFont="1" applyBorder="1" applyAlignment="1">
      <alignment horizontal="center"/>
    </xf>
    <xf numFmtId="9" fontId="7" fillId="0" borderId="10" xfId="2" applyFont="1" applyBorder="1" applyAlignment="1">
      <alignment horizontal="center"/>
    </xf>
    <xf numFmtId="0" fontId="4" fillId="10" borderId="23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6" fillId="10" borderId="19" xfId="0" applyFont="1" applyFill="1" applyBorder="1" applyAlignment="1">
      <alignment horizontal="center"/>
    </xf>
    <xf numFmtId="0" fontId="16" fillId="10" borderId="20" xfId="0" applyFont="1" applyFill="1" applyBorder="1" applyAlignment="1">
      <alignment horizontal="center"/>
    </xf>
    <xf numFmtId="0" fontId="16" fillId="10" borderId="10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>
          <a:extLst>
            <a:ext uri="{FF2B5EF4-FFF2-40B4-BE49-F238E27FC236}">
              <a16:creationId xmlns:a16="http://schemas.microsoft.com/office/drawing/2014/main" id="{00000000-0008-0000-05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>
          <a:extLst>
            <a:ext uri="{FF2B5EF4-FFF2-40B4-BE49-F238E27FC236}">
              <a16:creationId xmlns:a16="http://schemas.microsoft.com/office/drawing/2014/main" id="{00000000-0008-0000-05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4F16-14A9-4C46-9EA8-D16AA43417DB}">
  <dimension ref="B1:M13"/>
  <sheetViews>
    <sheetView showGridLines="0" tabSelected="1" workbookViewId="0">
      <selection activeCell="S5" sqref="S5"/>
    </sheetView>
  </sheetViews>
  <sheetFormatPr defaultRowHeight="15" x14ac:dyDescent="0.2"/>
  <cols>
    <col min="1" max="1" width="9.140625" style="267"/>
    <col min="2" max="3" width="4.140625" style="267" customWidth="1"/>
    <col min="4" max="16384" width="9.140625" style="267"/>
  </cols>
  <sheetData>
    <row r="1" spans="2:13" ht="24.95" customHeight="1" thickBot="1" x14ac:dyDescent="0.25"/>
    <row r="2" spans="2:13" ht="24.95" customHeight="1" thickTop="1" x14ac:dyDescent="0.2">
      <c r="B2" s="268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70"/>
    </row>
    <row r="3" spans="2:13" ht="24.95" customHeight="1" x14ac:dyDescent="0.2">
      <c r="B3" s="285" t="s">
        <v>296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71"/>
    </row>
    <row r="4" spans="2:13" ht="24.95" customHeight="1" x14ac:dyDescent="0.2">
      <c r="B4" s="272"/>
      <c r="M4" s="271"/>
    </row>
    <row r="5" spans="2:13" ht="24.95" customHeight="1" x14ac:dyDescent="0.2">
      <c r="B5" s="272"/>
      <c r="C5" s="267" t="s">
        <v>299</v>
      </c>
      <c r="D5" s="284" t="s">
        <v>297</v>
      </c>
      <c r="E5" s="284"/>
      <c r="F5" s="284"/>
      <c r="G5" s="284"/>
      <c r="H5" s="284"/>
      <c r="I5" s="284"/>
      <c r="J5" s="284"/>
      <c r="K5" s="284"/>
      <c r="L5" s="284"/>
      <c r="M5" s="287"/>
    </row>
    <row r="6" spans="2:13" ht="24.95" customHeight="1" x14ac:dyDescent="0.2">
      <c r="B6" s="272"/>
      <c r="C6" s="267" t="s">
        <v>300</v>
      </c>
      <c r="D6" s="284" t="s">
        <v>298</v>
      </c>
      <c r="E6" s="284"/>
      <c r="F6" s="284"/>
      <c r="G6" s="284"/>
      <c r="H6" s="284"/>
      <c r="I6" s="284"/>
      <c r="J6" s="284"/>
      <c r="K6" s="284"/>
      <c r="L6" s="284"/>
      <c r="M6" s="271"/>
    </row>
    <row r="7" spans="2:13" ht="24.95" customHeight="1" x14ac:dyDescent="0.2">
      <c r="B7" s="272"/>
      <c r="C7" s="267" t="s">
        <v>301</v>
      </c>
      <c r="D7" s="284" t="s">
        <v>317</v>
      </c>
      <c r="E7" s="284"/>
      <c r="F7" s="284"/>
      <c r="G7" s="284"/>
      <c r="H7" s="284"/>
      <c r="I7" s="284"/>
      <c r="J7" s="284"/>
      <c r="K7" s="284"/>
      <c r="L7" s="284"/>
      <c r="M7" s="271"/>
    </row>
    <row r="8" spans="2:13" ht="24.95" customHeight="1" x14ac:dyDescent="0.2">
      <c r="B8" s="272"/>
      <c r="C8" s="267" t="s">
        <v>302</v>
      </c>
      <c r="D8" s="284" t="s">
        <v>318</v>
      </c>
      <c r="E8" s="284"/>
      <c r="F8" s="284"/>
      <c r="G8" s="284"/>
      <c r="H8" s="284"/>
      <c r="I8" s="284"/>
      <c r="J8" s="284"/>
      <c r="K8" s="284"/>
      <c r="L8" s="284"/>
      <c r="M8" s="271"/>
    </row>
    <row r="9" spans="2:13" ht="24.95" customHeight="1" x14ac:dyDescent="0.2">
      <c r="B9" s="272"/>
      <c r="C9" s="267" t="s">
        <v>303</v>
      </c>
      <c r="D9" s="284" t="s">
        <v>306</v>
      </c>
      <c r="E9" s="284"/>
      <c r="F9" s="284"/>
      <c r="G9" s="284"/>
      <c r="H9" s="284"/>
      <c r="I9" s="284"/>
      <c r="J9" s="284"/>
      <c r="K9" s="284"/>
      <c r="L9" s="284"/>
      <c r="M9" s="271"/>
    </row>
    <row r="10" spans="2:13" ht="24.95" customHeight="1" x14ac:dyDescent="0.2">
      <c r="B10" s="272"/>
      <c r="C10" s="267" t="s">
        <v>304</v>
      </c>
      <c r="D10" s="284" t="s">
        <v>307</v>
      </c>
      <c r="E10" s="284"/>
      <c r="F10" s="284"/>
      <c r="G10" s="284"/>
      <c r="H10" s="284"/>
      <c r="I10" s="284"/>
      <c r="J10" s="284"/>
      <c r="K10" s="284"/>
      <c r="L10" s="284"/>
      <c r="M10" s="271"/>
    </row>
    <row r="11" spans="2:13" ht="24.95" customHeight="1" x14ac:dyDescent="0.2">
      <c r="B11" s="272"/>
      <c r="C11" s="267" t="s">
        <v>305</v>
      </c>
      <c r="D11" s="281" t="s">
        <v>308</v>
      </c>
      <c r="E11" s="281"/>
      <c r="F11" s="281"/>
      <c r="G11" s="281"/>
      <c r="H11" s="281"/>
      <c r="I11" s="281"/>
      <c r="J11" s="281"/>
      <c r="K11" s="281"/>
      <c r="L11" s="281"/>
      <c r="M11" s="282"/>
    </row>
    <row r="12" spans="2:13" ht="24.95" customHeight="1" thickBot="1" x14ac:dyDescent="0.25">
      <c r="B12" s="273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5"/>
    </row>
    <row r="13" spans="2:13" ht="15.75" thickTop="1" x14ac:dyDescent="0.2"/>
  </sheetData>
  <mergeCells count="7">
    <mergeCell ref="D10:L10"/>
    <mergeCell ref="B3:L3"/>
    <mergeCell ref="D5:M5"/>
    <mergeCell ref="D6:L6"/>
    <mergeCell ref="D7:L7"/>
    <mergeCell ref="D8:L8"/>
    <mergeCell ref="D9:L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>
    <pageSetUpPr fitToPage="1"/>
  </sheetPr>
  <dimension ref="A1:J264"/>
  <sheetViews>
    <sheetView view="pageBreakPreview" topLeftCell="A209" zoomScale="95" zoomScaleNormal="100" zoomScaleSheetLayoutView="95" workbookViewId="0">
      <selection activeCell="C227" sqref="C227"/>
    </sheetView>
  </sheetViews>
  <sheetFormatPr defaultRowHeight="12.75" x14ac:dyDescent="0.2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s="4" customFormat="1" ht="16.5" customHeight="1" thickBot="1" x14ac:dyDescent="0.25">
      <c r="A1" s="7"/>
      <c r="B1" s="5"/>
      <c r="C1" s="5"/>
      <c r="D1" s="6"/>
      <c r="E1" s="6"/>
      <c r="F1" s="6"/>
      <c r="G1" s="6"/>
    </row>
    <row r="2" spans="1:7" s="8" customFormat="1" ht="18" x14ac:dyDescent="0.2">
      <c r="A2" s="292" t="s">
        <v>208</v>
      </c>
      <c r="B2" s="293"/>
      <c r="C2" s="293"/>
      <c r="D2" s="293"/>
      <c r="E2" s="293"/>
      <c r="F2" s="294"/>
      <c r="G2" s="35"/>
    </row>
    <row r="3" spans="1:7" s="8" customFormat="1" ht="21.75" customHeight="1" x14ac:dyDescent="0.2">
      <c r="A3" s="295" t="s">
        <v>39</v>
      </c>
      <c r="B3" s="296"/>
      <c r="C3" s="296"/>
      <c r="D3" s="296"/>
      <c r="E3" s="296"/>
      <c r="F3" s="297"/>
      <c r="G3" s="35"/>
    </row>
    <row r="4" spans="1:7" s="4" customFormat="1" ht="10.9" customHeight="1" thickBot="1" x14ac:dyDescent="0.25">
      <c r="A4" s="128"/>
      <c r="B4" s="5"/>
      <c r="C4" s="5"/>
      <c r="D4" s="129"/>
      <c r="E4" s="129"/>
      <c r="F4" s="130"/>
      <c r="G4" s="6"/>
    </row>
    <row r="5" spans="1:7" s="4" customFormat="1" ht="15.75" customHeight="1" thickBot="1" x14ac:dyDescent="0.25">
      <c r="A5" s="301" t="s">
        <v>195</v>
      </c>
      <c r="B5" s="302"/>
      <c r="C5" s="302"/>
      <c r="D5" s="302"/>
      <c r="E5" s="302"/>
      <c r="F5" s="303"/>
      <c r="G5" s="6"/>
    </row>
    <row r="6" spans="1:7" s="4" customFormat="1" ht="15.75" customHeight="1" x14ac:dyDescent="0.2">
      <c r="A6" s="60" t="s">
        <v>194</v>
      </c>
      <c r="B6" s="38"/>
      <c r="C6" s="38"/>
      <c r="D6" s="201"/>
      <c r="E6" s="100" t="s">
        <v>34</v>
      </c>
      <c r="F6" s="39" t="s">
        <v>1</v>
      </c>
      <c r="G6" s="6"/>
    </row>
    <row r="7" spans="1:7" s="11" customFormat="1" ht="15.75" customHeight="1" x14ac:dyDescent="0.2">
      <c r="A7" s="108" t="str">
        <f>A40</f>
        <v>1. Mão-de-obra</v>
      </c>
      <c r="B7" s="109"/>
      <c r="C7" s="110"/>
      <c r="D7" s="110"/>
      <c r="E7" s="198" t="e">
        <f>+F85</f>
        <v>#DIV/0!</v>
      </c>
      <c r="F7" s="111">
        <f t="shared" ref="F7:F24" si="0">IFERROR(E7/$E$25,0)</f>
        <v>0</v>
      </c>
      <c r="G7" s="42"/>
    </row>
    <row r="8" spans="1:7" s="4" customFormat="1" ht="15.75" customHeight="1" x14ac:dyDescent="0.2">
      <c r="A8" s="47" t="str">
        <f>A42</f>
        <v>1.1. Coletor Turno Dia</v>
      </c>
      <c r="B8" s="43"/>
      <c r="C8" s="45"/>
      <c r="D8" s="45"/>
      <c r="E8" s="199">
        <f>F50</f>
        <v>0</v>
      </c>
      <c r="F8" s="54">
        <f t="shared" si="0"/>
        <v>0</v>
      </c>
      <c r="G8" s="6"/>
    </row>
    <row r="9" spans="1:7" s="4" customFormat="1" ht="15.75" customHeight="1" x14ac:dyDescent="0.2">
      <c r="A9" s="47" t="str">
        <f>A52</f>
        <v>1.2. Motorista Turno do Dia</v>
      </c>
      <c r="B9" s="43"/>
      <c r="C9" s="45"/>
      <c r="D9" s="45"/>
      <c r="E9" s="199" t="e">
        <f>F62</f>
        <v>#DIV/0!</v>
      </c>
      <c r="F9" s="54">
        <f t="shared" si="0"/>
        <v>0</v>
      </c>
      <c r="G9" s="6"/>
    </row>
    <row r="10" spans="1:7" s="4" customFormat="1" ht="15.75" customHeight="1" x14ac:dyDescent="0.2">
      <c r="A10" s="47" t="str">
        <f>A65</f>
        <v>1.3. Vale Transporte</v>
      </c>
      <c r="B10" s="43"/>
      <c r="C10" s="45"/>
      <c r="D10" s="45"/>
      <c r="E10" s="199">
        <f>F71</f>
        <v>0</v>
      </c>
      <c r="F10" s="54">
        <f t="shared" si="0"/>
        <v>0</v>
      </c>
      <c r="G10" s="6"/>
    </row>
    <row r="11" spans="1:7" s="4" customFormat="1" ht="15.75" customHeight="1" x14ac:dyDescent="0.2">
      <c r="A11" s="47" t="str">
        <f>A73</f>
        <v>1.4. Vale-refeição (diário)</v>
      </c>
      <c r="B11" s="43"/>
      <c r="C11" s="45"/>
      <c r="D11" s="45"/>
      <c r="E11" s="199">
        <f>F77</f>
        <v>0</v>
      </c>
      <c r="F11" s="54">
        <f t="shared" si="0"/>
        <v>0</v>
      </c>
      <c r="G11" s="6"/>
    </row>
    <row r="12" spans="1:7" s="4" customFormat="1" ht="15.75" customHeight="1" x14ac:dyDescent="0.2">
      <c r="A12" s="47" t="str">
        <f>A79</f>
        <v>1.5. Auxílio Alimentação (mensal)</v>
      </c>
      <c r="B12" s="43"/>
      <c r="C12" s="45"/>
      <c r="D12" s="45"/>
      <c r="E12" s="199">
        <f>F83</f>
        <v>0</v>
      </c>
      <c r="F12" s="54">
        <f t="shared" si="0"/>
        <v>0</v>
      </c>
      <c r="G12" s="6"/>
    </row>
    <row r="13" spans="1:7" s="11" customFormat="1" ht="15.75" customHeight="1" x14ac:dyDescent="0.2">
      <c r="A13" s="290" t="str">
        <f>A87</f>
        <v>2. Uniformes e Equipamentos de Proteção Individual</v>
      </c>
      <c r="B13" s="291"/>
      <c r="C13" s="291"/>
      <c r="D13" s="110"/>
      <c r="E13" s="198">
        <f>+F119</f>
        <v>0</v>
      </c>
      <c r="F13" s="111">
        <f t="shared" si="0"/>
        <v>0</v>
      </c>
      <c r="G13" s="42"/>
    </row>
    <row r="14" spans="1:7" s="11" customFormat="1" ht="15.75" customHeight="1" x14ac:dyDescent="0.2">
      <c r="A14" s="119" t="str">
        <f>A121</f>
        <v>3. Veículos e Equipamentos</v>
      </c>
      <c r="B14" s="120"/>
      <c r="C14" s="110"/>
      <c r="D14" s="110"/>
      <c r="E14" s="198" t="e">
        <f>+F197</f>
        <v>#REF!</v>
      </c>
      <c r="F14" s="111">
        <f t="shared" si="0"/>
        <v>0</v>
      </c>
      <c r="G14" s="42"/>
    </row>
    <row r="15" spans="1:7" s="4" customFormat="1" ht="15.75" customHeight="1" x14ac:dyDescent="0.2">
      <c r="A15" s="61" t="str">
        <f>A123</f>
        <v>3.1. Veículo Coletor Caminhão Caçamba 12 m³</v>
      </c>
      <c r="B15" s="44"/>
      <c r="C15" s="45"/>
      <c r="D15" s="45"/>
      <c r="E15" s="199" t="e">
        <f>SUM(E16:E21)</f>
        <v>#REF!</v>
      </c>
      <c r="F15" s="123">
        <f t="shared" si="0"/>
        <v>0</v>
      </c>
      <c r="G15" s="6"/>
    </row>
    <row r="16" spans="1:7" s="4" customFormat="1" ht="15.75" customHeight="1" x14ac:dyDescent="0.2">
      <c r="A16" s="61" t="str">
        <f>A125</f>
        <v>3.1.1. Depreciação</v>
      </c>
      <c r="B16" s="44"/>
      <c r="C16" s="45"/>
      <c r="D16" s="45"/>
      <c r="E16" s="199">
        <f>F139</f>
        <v>0</v>
      </c>
      <c r="F16" s="123">
        <f t="shared" si="0"/>
        <v>0</v>
      </c>
      <c r="G16" s="6"/>
    </row>
    <row r="17" spans="1:7" s="4" customFormat="1" ht="15.75" customHeight="1" x14ac:dyDescent="0.2">
      <c r="A17" s="61" t="str">
        <f>A141</f>
        <v>3.1.2. Remuneração do Capital</v>
      </c>
      <c r="B17" s="44"/>
      <c r="C17" s="45"/>
      <c r="D17" s="45"/>
      <c r="E17" s="199">
        <f>F155</f>
        <v>0</v>
      </c>
      <c r="F17" s="123">
        <f t="shared" si="0"/>
        <v>0</v>
      </c>
      <c r="G17" s="6"/>
    </row>
    <row r="18" spans="1:7" s="4" customFormat="1" ht="15.75" customHeight="1" x14ac:dyDescent="0.2">
      <c r="A18" s="61" t="str">
        <f>A156</f>
        <v>3.1.3. Impostos e Seguros</v>
      </c>
      <c r="B18" s="44"/>
      <c r="C18" s="45"/>
      <c r="D18" s="45"/>
      <c r="E18" s="199" t="e">
        <f>F162</f>
        <v>#REF!</v>
      </c>
      <c r="F18" s="123">
        <f t="shared" si="0"/>
        <v>0</v>
      </c>
      <c r="G18" s="6"/>
    </row>
    <row r="19" spans="1:7" s="4" customFormat="1" ht="15.75" customHeight="1" x14ac:dyDescent="0.2">
      <c r="A19" s="61" t="str">
        <f>A164</f>
        <v>3.1.4. Consumos</v>
      </c>
      <c r="B19" s="44"/>
      <c r="C19" s="45"/>
      <c r="D19" s="45"/>
      <c r="E19" s="199">
        <f>F180</f>
        <v>0</v>
      </c>
      <c r="F19" s="123">
        <f t="shared" si="0"/>
        <v>0</v>
      </c>
      <c r="G19" s="6"/>
    </row>
    <row r="20" spans="1:7" s="4" customFormat="1" ht="15.75" customHeight="1" x14ac:dyDescent="0.2">
      <c r="A20" s="61" t="str">
        <f>A182</f>
        <v>3.1.5. Manutenção</v>
      </c>
      <c r="B20" s="44"/>
      <c r="C20" s="45"/>
      <c r="D20" s="45"/>
      <c r="E20" s="199">
        <f>F185</f>
        <v>0</v>
      </c>
      <c r="F20" s="123">
        <f t="shared" si="0"/>
        <v>0</v>
      </c>
      <c r="G20" s="6"/>
    </row>
    <row r="21" spans="1:7" s="4" customFormat="1" ht="15.75" customHeight="1" x14ac:dyDescent="0.2">
      <c r="A21" s="61" t="str">
        <f>A187</f>
        <v>3.1.6. Pneus</v>
      </c>
      <c r="B21" s="44"/>
      <c r="C21" s="45"/>
      <c r="D21" s="45"/>
      <c r="E21" s="199">
        <f>F194</f>
        <v>0</v>
      </c>
      <c r="F21" s="123">
        <f t="shared" si="0"/>
        <v>0</v>
      </c>
      <c r="G21" s="6"/>
    </row>
    <row r="22" spans="1:7" s="11" customFormat="1" ht="15.75" customHeight="1" x14ac:dyDescent="0.2">
      <c r="A22" s="119" t="str">
        <f>A199</f>
        <v>4. Ferramentas e Materiais de Consumo</v>
      </c>
      <c r="B22" s="120"/>
      <c r="C22" s="110"/>
      <c r="D22" s="110"/>
      <c r="E22" s="198">
        <f>+F209</f>
        <v>0</v>
      </c>
      <c r="F22" s="111">
        <f t="shared" si="0"/>
        <v>0</v>
      </c>
      <c r="G22" s="42"/>
    </row>
    <row r="23" spans="1:7" s="11" customFormat="1" ht="15.75" customHeight="1" x14ac:dyDescent="0.2">
      <c r="A23" s="119" t="str">
        <f>A211</f>
        <v>5. Monitoramento da Frota</v>
      </c>
      <c r="B23" s="120"/>
      <c r="C23" s="110"/>
      <c r="D23" s="110"/>
      <c r="E23" s="198">
        <f>+F220</f>
        <v>0</v>
      </c>
      <c r="F23" s="111">
        <f t="shared" si="0"/>
        <v>0</v>
      </c>
      <c r="G23" s="42"/>
    </row>
    <row r="24" spans="1:7" s="11" customFormat="1" ht="15.75" customHeight="1" thickBot="1" x14ac:dyDescent="0.25">
      <c r="A24" s="119" t="str">
        <f>A224</f>
        <v>6. Benefícios e Despesas Indiretas - BDI</v>
      </c>
      <c r="B24" s="120"/>
      <c r="C24" s="110"/>
      <c r="D24" s="110"/>
      <c r="E24" s="200" t="e">
        <f>+F230</f>
        <v>#DIV/0!</v>
      </c>
      <c r="F24" s="111">
        <f t="shared" si="0"/>
        <v>0</v>
      </c>
      <c r="G24" s="42"/>
    </row>
    <row r="25" spans="1:7" s="4" customFormat="1" ht="15.75" customHeight="1" thickBot="1" x14ac:dyDescent="0.25">
      <c r="A25" s="40" t="s">
        <v>228</v>
      </c>
      <c r="B25" s="41"/>
      <c r="C25" s="26"/>
      <c r="D25" s="26"/>
      <c r="E25" s="99" t="e">
        <f>E7+E13+E14+E22+E23+E24</f>
        <v>#DIV/0!</v>
      </c>
      <c r="F25" s="252">
        <f>F7+F13+F14+F22+F23+F24</f>
        <v>0</v>
      </c>
      <c r="G25" s="6"/>
    </row>
    <row r="27" spans="1:7" ht="13.5" thickBot="1" x14ac:dyDescent="0.25"/>
    <row r="28" spans="1:7" s="4" customFormat="1" ht="15" customHeight="1" thickBot="1" x14ac:dyDescent="0.25">
      <c r="A28" s="301" t="s">
        <v>94</v>
      </c>
      <c r="B28" s="302"/>
      <c r="C28" s="302"/>
      <c r="D28" s="302"/>
      <c r="E28" s="303"/>
      <c r="F28" s="10"/>
      <c r="G28" s="6"/>
    </row>
    <row r="29" spans="1:7" s="4" customFormat="1" ht="15" customHeight="1" thickBot="1" x14ac:dyDescent="0.25">
      <c r="A29" s="298" t="s">
        <v>35</v>
      </c>
      <c r="B29" s="299"/>
      <c r="C29" s="299"/>
      <c r="D29" s="300"/>
      <c r="E29" s="46" t="s">
        <v>36</v>
      </c>
      <c r="F29" s="10"/>
      <c r="G29" s="6"/>
    </row>
    <row r="30" spans="1:7" s="4" customFormat="1" ht="15" customHeight="1" x14ac:dyDescent="0.2">
      <c r="A30" s="69" t="str">
        <f>+A42</f>
        <v>1.1. Coletor Turno Dia</v>
      </c>
      <c r="B30" s="70"/>
      <c r="C30" s="70"/>
      <c r="D30" s="71"/>
      <c r="E30" s="72">
        <f>C49</f>
        <v>3</v>
      </c>
      <c r="F30" s="10"/>
      <c r="G30" s="6"/>
    </row>
    <row r="31" spans="1:7" s="4" customFormat="1" ht="15" customHeight="1" x14ac:dyDescent="0.2">
      <c r="A31" s="63" t="str">
        <f>+A52</f>
        <v>1.2. Motorista Turno do Dia</v>
      </c>
      <c r="B31" s="62"/>
      <c r="C31" s="62"/>
      <c r="D31" s="73"/>
      <c r="E31" s="66">
        <f>C61</f>
        <v>1</v>
      </c>
      <c r="F31" s="10"/>
      <c r="G31" s="6"/>
    </row>
    <row r="32" spans="1:7" s="4" customFormat="1" ht="15" customHeight="1" thickBot="1" x14ac:dyDescent="0.25">
      <c r="A32" s="67" t="s">
        <v>55</v>
      </c>
      <c r="B32" s="68"/>
      <c r="C32" s="68"/>
      <c r="D32" s="74"/>
      <c r="E32" s="75">
        <f>SUM(E30:E31)</f>
        <v>4</v>
      </c>
      <c r="F32" s="10"/>
      <c r="G32" s="6"/>
    </row>
    <row r="33" spans="1:7" s="4" customFormat="1" ht="15" customHeight="1" thickBot="1" x14ac:dyDescent="0.25">
      <c r="A33" s="112"/>
      <c r="B33" s="113"/>
      <c r="C33" s="55"/>
      <c r="D33" s="55"/>
      <c r="E33" s="114"/>
      <c r="F33" s="10"/>
      <c r="G33" s="6"/>
    </row>
    <row r="34" spans="1:7" s="4" customFormat="1" ht="15" customHeight="1" x14ac:dyDescent="0.2">
      <c r="A34" s="288" t="s">
        <v>52</v>
      </c>
      <c r="B34" s="289"/>
      <c r="C34" s="289"/>
      <c r="D34" s="289"/>
      <c r="E34" s="46" t="s">
        <v>36</v>
      </c>
      <c r="F34" s="9"/>
      <c r="G34" s="6"/>
    </row>
    <row r="35" spans="1:7" s="4" customFormat="1" ht="15" customHeight="1" thickBot="1" x14ac:dyDescent="0.25">
      <c r="A35" s="115" t="str">
        <f>+A123</f>
        <v>3.1. Veículo Coletor Caminhão Caçamba 12 m³</v>
      </c>
      <c r="B35" s="116"/>
      <c r="C35" s="116"/>
      <c r="D35" s="117"/>
      <c r="E35" s="118">
        <f>C138</f>
        <v>1</v>
      </c>
      <c r="F35" s="9"/>
      <c r="G35" s="6"/>
    </row>
    <row r="36" spans="1:7" s="4" customFormat="1" ht="15" customHeight="1" x14ac:dyDescent="0.2">
      <c r="A36" s="55"/>
      <c r="B36" s="55"/>
      <c r="C36" s="55"/>
      <c r="D36" s="9"/>
      <c r="E36" s="197"/>
      <c r="F36" s="9"/>
      <c r="G36" s="6"/>
    </row>
    <row r="37" spans="1:7" s="4" customFormat="1" ht="13.5" thickBot="1" x14ac:dyDescent="0.25">
      <c r="A37" s="55"/>
      <c r="B37" s="55"/>
      <c r="C37" s="55"/>
      <c r="D37" s="9"/>
      <c r="E37" s="64"/>
      <c r="F37" s="9"/>
      <c r="G37" s="6"/>
    </row>
    <row r="38" spans="1:7" s="11" customFormat="1" ht="15.75" customHeight="1" thickBot="1" x14ac:dyDescent="0.25">
      <c r="A38" s="202" t="s">
        <v>189</v>
      </c>
      <c r="B38" s="283">
        <f>18/44</f>
        <v>0.40909090909090912</v>
      </c>
      <c r="C38" s="34"/>
      <c r="E38" s="131"/>
      <c r="G38" s="42"/>
    </row>
    <row r="39" spans="1:7" s="4" customFormat="1" ht="15.75" customHeight="1" x14ac:dyDescent="0.2">
      <c r="A39" s="55"/>
      <c r="B39" s="55"/>
      <c r="C39" s="55"/>
      <c r="D39" s="9"/>
      <c r="E39" s="64"/>
      <c r="F39" s="9"/>
      <c r="G39" s="6"/>
    </row>
    <row r="40" spans="1:7" ht="13.15" customHeight="1" x14ac:dyDescent="0.2">
      <c r="A40" s="11" t="s">
        <v>43</v>
      </c>
    </row>
    <row r="41" spans="1:7" ht="11.25" customHeight="1" x14ac:dyDescent="0.2"/>
    <row r="42" spans="1:7" ht="13.9" customHeight="1" thickBot="1" x14ac:dyDescent="0.25">
      <c r="A42" s="9" t="s">
        <v>95</v>
      </c>
    </row>
    <row r="43" spans="1:7" ht="13.9" customHeight="1" thickBot="1" x14ac:dyDescent="0.25">
      <c r="A43" s="56" t="s">
        <v>60</v>
      </c>
      <c r="B43" s="57" t="s">
        <v>61</v>
      </c>
      <c r="C43" s="57" t="s">
        <v>36</v>
      </c>
      <c r="D43" s="58" t="s">
        <v>224</v>
      </c>
      <c r="E43" s="58" t="s">
        <v>62</v>
      </c>
      <c r="F43" s="59" t="s">
        <v>63</v>
      </c>
    </row>
    <row r="44" spans="1:7" ht="13.15" customHeight="1" x14ac:dyDescent="0.2">
      <c r="A44" s="13" t="s">
        <v>204</v>
      </c>
      <c r="B44" s="14" t="s">
        <v>6</v>
      </c>
      <c r="C44" s="14">
        <v>1</v>
      </c>
      <c r="D44" s="80">
        <v>0</v>
      </c>
      <c r="E44" s="15">
        <f>C44*D44</f>
        <v>0</v>
      </c>
    </row>
    <row r="45" spans="1:7" x14ac:dyDescent="0.2">
      <c r="A45" s="16" t="s">
        <v>0</v>
      </c>
      <c r="B45" s="17" t="s">
        <v>1</v>
      </c>
      <c r="C45" s="17">
        <v>40</v>
      </c>
      <c r="D45" s="76">
        <f>SUM(E44:E44)</f>
        <v>0</v>
      </c>
      <c r="E45" s="18">
        <f>C45*D45/100</f>
        <v>0</v>
      </c>
    </row>
    <row r="46" spans="1:7" x14ac:dyDescent="0.2">
      <c r="A46" s="101" t="s">
        <v>2</v>
      </c>
      <c r="B46" s="102"/>
      <c r="C46" s="102"/>
      <c r="D46" s="103"/>
      <c r="E46" s="104">
        <f>SUM(E44:E45)</f>
        <v>0</v>
      </c>
    </row>
    <row r="47" spans="1:7" x14ac:dyDescent="0.2">
      <c r="A47" s="16" t="s">
        <v>3</v>
      </c>
      <c r="B47" s="17" t="s">
        <v>1</v>
      </c>
      <c r="C47" s="121">
        <f>'2. Encargos Sociais'!C32*100</f>
        <v>71.510000000000005</v>
      </c>
      <c r="D47" s="18">
        <f>E46</f>
        <v>0</v>
      </c>
      <c r="E47" s="18">
        <f>D47*C47/100</f>
        <v>0</v>
      </c>
    </row>
    <row r="48" spans="1:7" x14ac:dyDescent="0.2">
      <c r="A48" s="101" t="s">
        <v>69</v>
      </c>
      <c r="B48" s="102"/>
      <c r="C48" s="102"/>
      <c r="D48" s="103"/>
      <c r="E48" s="104">
        <f>E46+E47</f>
        <v>0</v>
      </c>
    </row>
    <row r="49" spans="1:7" ht="13.5" thickBot="1" x14ac:dyDescent="0.25">
      <c r="A49" s="16" t="s">
        <v>4</v>
      </c>
      <c r="B49" s="17" t="s">
        <v>5</v>
      </c>
      <c r="C49" s="17">
        <v>3</v>
      </c>
      <c r="D49" s="18">
        <f>E48</f>
        <v>0</v>
      </c>
      <c r="E49" s="18">
        <f>C49*D49</f>
        <v>0</v>
      </c>
      <c r="G49" s="6"/>
    </row>
    <row r="50" spans="1:7" ht="13.9" customHeight="1" thickBot="1" x14ac:dyDescent="0.25">
      <c r="D50" s="106" t="s">
        <v>188</v>
      </c>
      <c r="E50" s="48">
        <f>$B$38</f>
        <v>0.40909090909090912</v>
      </c>
      <c r="F50" s="107">
        <f>E49*E50</f>
        <v>0</v>
      </c>
      <c r="G50" s="6"/>
    </row>
    <row r="51" spans="1:7" ht="11.25" customHeight="1" x14ac:dyDescent="0.2"/>
    <row r="52" spans="1:7" ht="13.5" thickBot="1" x14ac:dyDescent="0.25">
      <c r="A52" s="7" t="s">
        <v>281</v>
      </c>
    </row>
    <row r="53" spans="1:7" s="12" customFormat="1" ht="13.15" customHeight="1" thickBot="1" x14ac:dyDescent="0.25">
      <c r="A53" s="56" t="s">
        <v>60</v>
      </c>
      <c r="B53" s="57" t="s">
        <v>61</v>
      </c>
      <c r="C53" s="57" t="s">
        <v>36</v>
      </c>
      <c r="D53" s="58" t="s">
        <v>224</v>
      </c>
      <c r="E53" s="58" t="s">
        <v>62</v>
      </c>
      <c r="F53" s="59" t="s">
        <v>63</v>
      </c>
      <c r="G53" s="10"/>
    </row>
    <row r="54" spans="1:7" x14ac:dyDescent="0.2">
      <c r="A54" s="227" t="s">
        <v>270</v>
      </c>
      <c r="B54" s="14" t="s">
        <v>6</v>
      </c>
      <c r="C54" s="14">
        <v>1</v>
      </c>
      <c r="D54" s="80">
        <v>0</v>
      </c>
      <c r="E54" s="15">
        <f>C54*D54</f>
        <v>0</v>
      </c>
    </row>
    <row r="55" spans="1:7" x14ac:dyDescent="0.2">
      <c r="A55" s="227" t="s">
        <v>271</v>
      </c>
      <c r="B55" s="14" t="s">
        <v>6</v>
      </c>
      <c r="C55" s="14">
        <v>1</v>
      </c>
      <c r="D55" s="80">
        <v>0</v>
      </c>
      <c r="E55" s="15"/>
    </row>
    <row r="56" spans="1:7" x14ac:dyDescent="0.2">
      <c r="A56" s="16" t="s">
        <v>205</v>
      </c>
      <c r="B56" s="17"/>
      <c r="C56" s="65">
        <v>1</v>
      </c>
      <c r="D56" s="18"/>
      <c r="E56" s="18"/>
    </row>
    <row r="57" spans="1:7" x14ac:dyDescent="0.2">
      <c r="A57" s="16" t="s">
        <v>0</v>
      </c>
      <c r="B57" s="17" t="s">
        <v>1</v>
      </c>
      <c r="C57" s="17">
        <v>40</v>
      </c>
      <c r="D57" s="76" t="e">
        <f>IF(C56=2,SUM(E54:E55),IF(C56=1,(SUM(E54:E55))*D55/D54,0))</f>
        <v>#DIV/0!</v>
      </c>
      <c r="E57" s="18" t="e">
        <f>C57*D57/100</f>
        <v>#DIV/0!</v>
      </c>
    </row>
    <row r="58" spans="1:7" s="11" customFormat="1" x14ac:dyDescent="0.2">
      <c r="A58" s="88" t="s">
        <v>2</v>
      </c>
      <c r="B58" s="102"/>
      <c r="C58" s="102"/>
      <c r="D58" s="103"/>
      <c r="E58" s="90" t="e">
        <f>SUM(E54:E57)</f>
        <v>#DIV/0!</v>
      </c>
      <c r="F58" s="42"/>
      <c r="G58" s="42"/>
    </row>
    <row r="59" spans="1:7" x14ac:dyDescent="0.2">
      <c r="A59" s="16" t="s">
        <v>3</v>
      </c>
      <c r="B59" s="17" t="s">
        <v>1</v>
      </c>
      <c r="C59" s="121">
        <f>'2. Encargos Sociais'!C32*100</f>
        <v>71.510000000000005</v>
      </c>
      <c r="D59" s="18" t="e">
        <f>E58</f>
        <v>#DIV/0!</v>
      </c>
      <c r="E59" s="18" t="e">
        <f>D59*C59/100</f>
        <v>#DIV/0!</v>
      </c>
    </row>
    <row r="60" spans="1:7" s="11" customFormat="1" x14ac:dyDescent="0.2">
      <c r="A60" s="88" t="s">
        <v>237</v>
      </c>
      <c r="B60" s="208"/>
      <c r="C60" s="208"/>
      <c r="D60" s="209"/>
      <c r="E60" s="90" t="e">
        <f>E58+E59</f>
        <v>#DIV/0!</v>
      </c>
      <c r="F60" s="42"/>
      <c r="G60" s="42"/>
    </row>
    <row r="61" spans="1:7" ht="13.5" thickBot="1" x14ac:dyDescent="0.25">
      <c r="A61" s="16" t="s">
        <v>4</v>
      </c>
      <c r="B61" s="17" t="s">
        <v>5</v>
      </c>
      <c r="C61" s="17">
        <v>1</v>
      </c>
      <c r="D61" s="18" t="e">
        <f>E60</f>
        <v>#DIV/0!</v>
      </c>
      <c r="E61" s="18" t="e">
        <f>C61*D61</f>
        <v>#DIV/0!</v>
      </c>
    </row>
    <row r="62" spans="1:7" ht="13.5" thickBot="1" x14ac:dyDescent="0.25">
      <c r="D62" s="106" t="s">
        <v>188</v>
      </c>
      <c r="E62" s="48">
        <f>$B$38</f>
        <v>0.40909090909090912</v>
      </c>
      <c r="F62" s="107" t="e">
        <f>E61*E62</f>
        <v>#DIV/0!</v>
      </c>
    </row>
    <row r="63" spans="1:7" ht="11.25" customHeight="1" x14ac:dyDescent="0.2"/>
    <row r="64" spans="1:7" ht="11.25" customHeight="1" x14ac:dyDescent="0.2">
      <c r="G64" s="9"/>
    </row>
    <row r="65" spans="1:7" ht="13.5" thickBot="1" x14ac:dyDescent="0.25">
      <c r="A65" s="7" t="s">
        <v>282</v>
      </c>
      <c r="B65" s="83"/>
      <c r="D65" s="9"/>
      <c r="E65" s="9"/>
      <c r="G65" s="9"/>
    </row>
    <row r="66" spans="1:7" ht="13.5" thickBot="1" x14ac:dyDescent="0.25">
      <c r="A66" s="56" t="s">
        <v>60</v>
      </c>
      <c r="B66" s="57" t="s">
        <v>61</v>
      </c>
      <c r="C66" s="57" t="s">
        <v>36</v>
      </c>
      <c r="D66" s="58" t="s">
        <v>224</v>
      </c>
      <c r="E66" s="58" t="s">
        <v>62</v>
      </c>
      <c r="F66" s="59" t="s">
        <v>63</v>
      </c>
      <c r="G66" s="9"/>
    </row>
    <row r="67" spans="1:7" x14ac:dyDescent="0.2">
      <c r="A67" s="16" t="s">
        <v>88</v>
      </c>
      <c r="B67" s="17" t="s">
        <v>31</v>
      </c>
      <c r="C67" s="84">
        <v>1</v>
      </c>
      <c r="D67" s="82">
        <v>0</v>
      </c>
      <c r="E67" s="18"/>
      <c r="G67" s="9"/>
    </row>
    <row r="68" spans="1:7" x14ac:dyDescent="0.2">
      <c r="A68" s="16" t="s">
        <v>89</v>
      </c>
      <c r="B68" s="17" t="s">
        <v>90</v>
      </c>
      <c r="C68" s="9">
        <v>22</v>
      </c>
      <c r="D68" s="18"/>
      <c r="E68" s="18"/>
      <c r="G68" s="9"/>
    </row>
    <row r="69" spans="1:7" x14ac:dyDescent="0.2">
      <c r="A69" s="16" t="s">
        <v>70</v>
      </c>
      <c r="B69" s="17" t="s">
        <v>7</v>
      </c>
      <c r="C69" s="36">
        <f>$C$68*2*(C49)</f>
        <v>132</v>
      </c>
      <c r="D69" s="15">
        <f>IFERROR((($C$68*2*$D$67)-(E44*0.06*C68/26))/($C$68*2),"-")</f>
        <v>0</v>
      </c>
      <c r="E69" s="18">
        <f>IFERROR(C69*D69,"-")</f>
        <v>0</v>
      </c>
      <c r="G69" s="9"/>
    </row>
    <row r="70" spans="1:7" ht="13.5" thickBot="1" x14ac:dyDescent="0.25">
      <c r="A70" s="13" t="s">
        <v>40</v>
      </c>
      <c r="B70" s="14" t="s">
        <v>7</v>
      </c>
      <c r="C70" s="36">
        <f>$C$68*2*(C61)</f>
        <v>44</v>
      </c>
      <c r="D70" s="15">
        <f>IFERROR((($C$68*2*$D$67)-(E54*0.06*C68/26))/($C$68*2),"-")</f>
        <v>0</v>
      </c>
      <c r="E70" s="15">
        <f>IFERROR(C70*D70,"-")</f>
        <v>0</v>
      </c>
      <c r="G70" s="9"/>
    </row>
    <row r="71" spans="1:7" ht="13.5" thickBot="1" x14ac:dyDescent="0.25">
      <c r="F71" s="22">
        <f>SUM(E69:E70)</f>
        <v>0</v>
      </c>
      <c r="G71" s="9"/>
    </row>
    <row r="72" spans="1:7" ht="11.25" customHeight="1" x14ac:dyDescent="0.2">
      <c r="G72" s="9"/>
    </row>
    <row r="73" spans="1:7" ht="13.5" thickBot="1" x14ac:dyDescent="0.25">
      <c r="A73" s="7" t="s">
        <v>283</v>
      </c>
      <c r="F73" s="23"/>
      <c r="G73" s="9"/>
    </row>
    <row r="74" spans="1:7" ht="13.5" thickBot="1" x14ac:dyDescent="0.25">
      <c r="A74" s="56" t="s">
        <v>60</v>
      </c>
      <c r="B74" s="57" t="s">
        <v>61</v>
      </c>
      <c r="C74" s="57" t="s">
        <v>36</v>
      </c>
      <c r="D74" s="58" t="s">
        <v>224</v>
      </c>
      <c r="E74" s="58" t="s">
        <v>62</v>
      </c>
      <c r="F74" s="59" t="s">
        <v>63</v>
      </c>
      <c r="G74" s="9"/>
    </row>
    <row r="75" spans="1:7" x14ac:dyDescent="0.2">
      <c r="A75" s="16" t="str">
        <f>+A69</f>
        <v>Coletor</v>
      </c>
      <c r="B75" s="17" t="s">
        <v>8</v>
      </c>
      <c r="C75" s="87">
        <f>C68*(E30)</f>
        <v>66</v>
      </c>
      <c r="D75" s="81">
        <v>0</v>
      </c>
      <c r="E75" s="48">
        <f>C75*D75</f>
        <v>0</v>
      </c>
      <c r="F75" s="23"/>
      <c r="G75" s="9"/>
    </row>
    <row r="76" spans="1:7" ht="13.5" thickBot="1" x14ac:dyDescent="0.25">
      <c r="A76" s="16" t="str">
        <f>+A70</f>
        <v>Motorista</v>
      </c>
      <c r="B76" s="17" t="s">
        <v>8</v>
      </c>
      <c r="C76" s="87">
        <f>C68*(E31)</f>
        <v>22</v>
      </c>
      <c r="D76" s="81">
        <v>0</v>
      </c>
      <c r="E76" s="48">
        <f>C76*D76</f>
        <v>0</v>
      </c>
      <c r="F76" s="23"/>
      <c r="G76" s="9"/>
    </row>
    <row r="77" spans="1:7" ht="13.5" thickBot="1" x14ac:dyDescent="0.25">
      <c r="F77" s="22">
        <f>SUM(E75:E76)</f>
        <v>0</v>
      </c>
      <c r="G77" s="9"/>
    </row>
    <row r="78" spans="1:7" x14ac:dyDescent="0.2">
      <c r="G78" s="9"/>
    </row>
    <row r="79" spans="1:7" ht="13.5" thickBot="1" x14ac:dyDescent="0.25">
      <c r="A79" s="7" t="s">
        <v>284</v>
      </c>
      <c r="F79" s="23"/>
      <c r="G79" s="9"/>
    </row>
    <row r="80" spans="1:7" ht="13.5" thickBot="1" x14ac:dyDescent="0.25">
      <c r="A80" s="56" t="s">
        <v>60</v>
      </c>
      <c r="B80" s="57" t="s">
        <v>61</v>
      </c>
      <c r="C80" s="57" t="s">
        <v>36</v>
      </c>
      <c r="D80" s="58" t="s">
        <v>224</v>
      </c>
      <c r="E80" s="58" t="s">
        <v>62</v>
      </c>
      <c r="F80" s="59" t="s">
        <v>63</v>
      </c>
      <c r="G80" s="9"/>
    </row>
    <row r="81" spans="1:7" x14ac:dyDescent="0.2">
      <c r="A81" s="16" t="str">
        <f>+A75</f>
        <v>Coletor</v>
      </c>
      <c r="B81" s="17" t="s">
        <v>8</v>
      </c>
      <c r="C81" s="87">
        <f>E30</f>
        <v>3</v>
      </c>
      <c r="D81" s="81">
        <v>0</v>
      </c>
      <c r="E81" s="48">
        <f>C81*D81</f>
        <v>0</v>
      </c>
      <c r="F81" s="23"/>
      <c r="G81" s="9"/>
    </row>
    <row r="82" spans="1:7" ht="13.5" thickBot="1" x14ac:dyDescent="0.25">
      <c r="A82" s="16" t="str">
        <f>+A76</f>
        <v>Motorista</v>
      </c>
      <c r="B82" s="17" t="s">
        <v>8</v>
      </c>
      <c r="C82" s="87">
        <f>E31</f>
        <v>1</v>
      </c>
      <c r="D82" s="81">
        <v>0</v>
      </c>
      <c r="E82" s="48">
        <f>C82*D82</f>
        <v>0</v>
      </c>
      <c r="F82" s="23"/>
      <c r="G82" s="9"/>
    </row>
    <row r="83" spans="1:7" ht="13.5" thickBot="1" x14ac:dyDescent="0.25">
      <c r="D83" s="106" t="s">
        <v>188</v>
      </c>
      <c r="E83" s="48">
        <f>$B$38</f>
        <v>0.40909090909090912</v>
      </c>
      <c r="F83" s="22">
        <f>SUM(E81:E82)*E83</f>
        <v>0</v>
      </c>
      <c r="G83" s="9"/>
    </row>
    <row r="84" spans="1:7" ht="13.5" thickBot="1" x14ac:dyDescent="0.25">
      <c r="G84" s="9"/>
    </row>
    <row r="85" spans="1:7" ht="13.5" thickBot="1" x14ac:dyDescent="0.25">
      <c r="A85" s="24" t="s">
        <v>91</v>
      </c>
      <c r="B85" s="25"/>
      <c r="C85" s="25"/>
      <c r="D85" s="26"/>
      <c r="E85" s="27"/>
      <c r="F85" s="22" t="e">
        <f>F83+F77+F71+F62+F50</f>
        <v>#DIV/0!</v>
      </c>
      <c r="G85" s="9"/>
    </row>
    <row r="87" spans="1:7" x14ac:dyDescent="0.2">
      <c r="A87" s="11" t="s">
        <v>41</v>
      </c>
      <c r="G87" s="9"/>
    </row>
    <row r="88" spans="1:7" ht="11.25" customHeight="1" x14ac:dyDescent="0.2">
      <c r="G88" s="9"/>
    </row>
    <row r="89" spans="1:7" ht="13.9" customHeight="1" x14ac:dyDescent="0.2">
      <c r="A89" s="9" t="s">
        <v>190</v>
      </c>
      <c r="G89" s="9"/>
    </row>
    <row r="90" spans="1:7" ht="11.25" customHeight="1" thickBot="1" x14ac:dyDescent="0.25">
      <c r="G90" s="9"/>
    </row>
    <row r="91" spans="1:7" ht="27.75" customHeight="1" thickBot="1" x14ac:dyDescent="0.25">
      <c r="A91" s="56" t="s">
        <v>60</v>
      </c>
      <c r="B91" s="57" t="s">
        <v>61</v>
      </c>
      <c r="C91" s="210" t="s">
        <v>238</v>
      </c>
      <c r="D91" s="58" t="s">
        <v>224</v>
      </c>
      <c r="E91" s="58" t="s">
        <v>62</v>
      </c>
      <c r="F91" s="59" t="s">
        <v>63</v>
      </c>
      <c r="G91" s="9"/>
    </row>
    <row r="92" spans="1:7" x14ac:dyDescent="0.2">
      <c r="A92" s="13" t="s">
        <v>64</v>
      </c>
      <c r="B92" s="14" t="s">
        <v>8</v>
      </c>
      <c r="C92" s="253">
        <v>6</v>
      </c>
      <c r="D92" s="80">
        <v>0</v>
      </c>
      <c r="E92" s="15">
        <f>IFERROR(D92/C92,0)</f>
        <v>0</v>
      </c>
      <c r="G92" s="9"/>
    </row>
    <row r="93" spans="1:7" ht="13.15" customHeight="1" x14ac:dyDescent="0.2">
      <c r="A93" s="16" t="s">
        <v>27</v>
      </c>
      <c r="B93" s="17" t="s">
        <v>8</v>
      </c>
      <c r="C93" s="253">
        <v>4</v>
      </c>
      <c r="D93" s="80">
        <v>0</v>
      </c>
      <c r="E93" s="15">
        <f t="shared" ref="E93:E101" si="1">IFERROR(D93/C93,0)</f>
        <v>0</v>
      </c>
      <c r="G93" s="9"/>
    </row>
    <row r="94" spans="1:7" x14ac:dyDescent="0.2">
      <c r="A94" s="16" t="s">
        <v>28</v>
      </c>
      <c r="B94" s="17" t="s">
        <v>8</v>
      </c>
      <c r="C94" s="253">
        <v>4</v>
      </c>
      <c r="D94" s="80">
        <v>0</v>
      </c>
      <c r="E94" s="15">
        <f t="shared" si="1"/>
        <v>0</v>
      </c>
      <c r="G94" s="9"/>
    </row>
    <row r="95" spans="1:7" ht="13.15" customHeight="1" x14ac:dyDescent="0.2">
      <c r="A95" s="16" t="s">
        <v>29</v>
      </c>
      <c r="B95" s="17" t="s">
        <v>8</v>
      </c>
      <c r="C95" s="253">
        <v>4</v>
      </c>
      <c r="D95" s="80">
        <v>0</v>
      </c>
      <c r="E95" s="15">
        <f t="shared" si="1"/>
        <v>0</v>
      </c>
      <c r="G95" s="9"/>
    </row>
    <row r="96" spans="1:7" ht="13.9" customHeight="1" x14ac:dyDescent="0.2">
      <c r="A96" s="16" t="s">
        <v>66</v>
      </c>
      <c r="B96" s="17" t="s">
        <v>44</v>
      </c>
      <c r="C96" s="253">
        <v>4</v>
      </c>
      <c r="D96" s="80">
        <v>0</v>
      </c>
      <c r="E96" s="15">
        <f t="shared" si="1"/>
        <v>0</v>
      </c>
      <c r="G96" s="9"/>
    </row>
    <row r="97" spans="1:7" ht="13.15" customHeight="1" x14ac:dyDescent="0.2">
      <c r="A97" s="16" t="s">
        <v>92</v>
      </c>
      <c r="B97" s="17" t="s">
        <v>44</v>
      </c>
      <c r="C97" s="253">
        <v>4</v>
      </c>
      <c r="D97" s="80">
        <v>0</v>
      </c>
      <c r="E97" s="15">
        <f t="shared" si="1"/>
        <v>0</v>
      </c>
    </row>
    <row r="98" spans="1:7" x14ac:dyDescent="0.2">
      <c r="A98" s="16" t="s">
        <v>65</v>
      </c>
      <c r="B98" s="17" t="s">
        <v>8</v>
      </c>
      <c r="C98" s="253">
        <v>12</v>
      </c>
      <c r="D98" s="80">
        <v>0</v>
      </c>
      <c r="E98" s="15">
        <f t="shared" si="1"/>
        <v>0</v>
      </c>
    </row>
    <row r="99" spans="1:7" s="1" customFormat="1" x14ac:dyDescent="0.2">
      <c r="A99" s="2" t="s">
        <v>9</v>
      </c>
      <c r="B99" s="3" t="s">
        <v>8</v>
      </c>
      <c r="C99" s="253">
        <v>6</v>
      </c>
      <c r="D99" s="80">
        <v>0</v>
      </c>
      <c r="E99" s="15">
        <f t="shared" si="1"/>
        <v>0</v>
      </c>
      <c r="F99" s="37"/>
      <c r="G99" s="37"/>
    </row>
    <row r="100" spans="1:7" x14ac:dyDescent="0.2">
      <c r="A100" s="16" t="s">
        <v>30</v>
      </c>
      <c r="B100" s="17" t="s">
        <v>44</v>
      </c>
      <c r="C100" s="253">
        <v>1</v>
      </c>
      <c r="D100" s="80">
        <v>0</v>
      </c>
      <c r="E100" s="15">
        <f t="shared" si="1"/>
        <v>0</v>
      </c>
    </row>
    <row r="101" spans="1:7" ht="13.15" customHeight="1" x14ac:dyDescent="0.2">
      <c r="A101" s="16" t="s">
        <v>59</v>
      </c>
      <c r="B101" s="17" t="s">
        <v>45</v>
      </c>
      <c r="C101" s="253">
        <v>2</v>
      </c>
      <c r="D101" s="80">
        <v>0</v>
      </c>
      <c r="E101" s="15">
        <f t="shared" si="1"/>
        <v>0</v>
      </c>
    </row>
    <row r="102" spans="1:7" x14ac:dyDescent="0.2">
      <c r="A102" s="16" t="s">
        <v>191</v>
      </c>
      <c r="B102" s="17" t="s">
        <v>117</v>
      </c>
      <c r="C102" s="65">
        <v>1</v>
      </c>
      <c r="D102" s="80">
        <v>0</v>
      </c>
      <c r="E102" s="18">
        <f t="shared" ref="E102:E103" si="2">C102*D102</f>
        <v>0</v>
      </c>
    </row>
    <row r="103" spans="1:7" ht="13.5" thickBot="1" x14ac:dyDescent="0.25">
      <c r="A103" s="16" t="s">
        <v>4</v>
      </c>
      <c r="B103" s="17" t="s">
        <v>5</v>
      </c>
      <c r="C103" s="65">
        <f>C49</f>
        <v>3</v>
      </c>
      <c r="D103" s="18">
        <f>+SUM(E92:E102)</f>
        <v>0</v>
      </c>
      <c r="E103" s="18">
        <f t="shared" si="2"/>
        <v>0</v>
      </c>
    </row>
    <row r="104" spans="1:7" ht="13.5" thickBot="1" x14ac:dyDescent="0.25">
      <c r="D104" s="106" t="s">
        <v>188</v>
      </c>
      <c r="E104" s="48">
        <f>$B$38</f>
        <v>0.40909090909090912</v>
      </c>
      <c r="F104" s="107">
        <f>E103*E104</f>
        <v>0</v>
      </c>
    </row>
    <row r="105" spans="1:7" ht="11.25" customHeight="1" x14ac:dyDescent="0.2"/>
    <row r="106" spans="1:7" ht="13.9" customHeight="1" x14ac:dyDescent="0.2">
      <c r="A106" s="9" t="s">
        <v>192</v>
      </c>
    </row>
    <row r="107" spans="1:7" ht="11.25" customHeight="1" thickBot="1" x14ac:dyDescent="0.25"/>
    <row r="108" spans="1:7" ht="24.75" thickBot="1" x14ac:dyDescent="0.25">
      <c r="A108" s="56" t="s">
        <v>60</v>
      </c>
      <c r="B108" s="57" t="s">
        <v>61</v>
      </c>
      <c r="C108" s="210" t="s">
        <v>238</v>
      </c>
      <c r="D108" s="58" t="s">
        <v>224</v>
      </c>
      <c r="E108" s="58" t="s">
        <v>62</v>
      </c>
      <c r="F108" s="59" t="s">
        <v>63</v>
      </c>
    </row>
    <row r="109" spans="1:7" x14ac:dyDescent="0.2">
      <c r="A109" s="13" t="s">
        <v>64</v>
      </c>
      <c r="B109" s="14" t="s">
        <v>8</v>
      </c>
      <c r="C109" s="253">
        <v>12</v>
      </c>
      <c r="D109" s="15">
        <f>+D92</f>
        <v>0</v>
      </c>
      <c r="E109" s="15">
        <f>IFERROR(D109/C109,0)</f>
        <v>0</v>
      </c>
    </row>
    <row r="110" spans="1:7" x14ac:dyDescent="0.2">
      <c r="A110" s="16" t="s">
        <v>27</v>
      </c>
      <c r="B110" s="17" t="s">
        <v>8</v>
      </c>
      <c r="C110" s="253">
        <v>12</v>
      </c>
      <c r="D110" s="18">
        <f>+D93</f>
        <v>0</v>
      </c>
      <c r="E110" s="15">
        <f t="shared" ref="E110:E114" si="3">IFERROR(D110/C110,0)</f>
        <v>0</v>
      </c>
    </row>
    <row r="111" spans="1:7" x14ac:dyDescent="0.2">
      <c r="A111" s="16" t="s">
        <v>28</v>
      </c>
      <c r="B111" s="17" t="s">
        <v>8</v>
      </c>
      <c r="C111" s="253">
        <v>12</v>
      </c>
      <c r="D111" s="18">
        <f>+D94</f>
        <v>0</v>
      </c>
      <c r="E111" s="15">
        <f t="shared" si="3"/>
        <v>0</v>
      </c>
    </row>
    <row r="112" spans="1:7" x14ac:dyDescent="0.2">
      <c r="A112" s="16" t="s">
        <v>66</v>
      </c>
      <c r="B112" s="17" t="s">
        <v>44</v>
      </c>
      <c r="C112" s="253">
        <v>12</v>
      </c>
      <c r="D112" s="18">
        <f>+D96</f>
        <v>0</v>
      </c>
      <c r="E112" s="15">
        <f t="shared" si="3"/>
        <v>0</v>
      </c>
    </row>
    <row r="113" spans="1:7" x14ac:dyDescent="0.2">
      <c r="A113" s="16" t="s">
        <v>65</v>
      </c>
      <c r="B113" s="17" t="s">
        <v>8</v>
      </c>
      <c r="C113" s="253">
        <v>12</v>
      </c>
      <c r="D113" s="18">
        <f>+D98</f>
        <v>0</v>
      </c>
      <c r="E113" s="15">
        <f t="shared" si="3"/>
        <v>0</v>
      </c>
      <c r="G113" s="9"/>
    </row>
    <row r="114" spans="1:7" x14ac:dyDescent="0.2">
      <c r="A114" s="16" t="s">
        <v>59</v>
      </c>
      <c r="B114" s="17" t="s">
        <v>45</v>
      </c>
      <c r="C114" s="253">
        <v>12</v>
      </c>
      <c r="D114" s="18">
        <f>+D101</f>
        <v>0</v>
      </c>
      <c r="E114" s="15">
        <f t="shared" si="3"/>
        <v>0</v>
      </c>
      <c r="G114" s="9"/>
    </row>
    <row r="115" spans="1:7" x14ac:dyDescent="0.2">
      <c r="A115" s="16" t="s">
        <v>191</v>
      </c>
      <c r="B115" s="17" t="s">
        <v>117</v>
      </c>
      <c r="C115" s="65">
        <v>1</v>
      </c>
      <c r="D115" s="18">
        <f>+D102</f>
        <v>0</v>
      </c>
      <c r="E115" s="18">
        <f t="shared" ref="E115:E116" si="4">C115*D115</f>
        <v>0</v>
      </c>
      <c r="G115" s="9"/>
    </row>
    <row r="116" spans="1:7" ht="13.5" thickBot="1" x14ac:dyDescent="0.25">
      <c r="A116" s="16" t="s">
        <v>4</v>
      </c>
      <c r="B116" s="17" t="s">
        <v>5</v>
      </c>
      <c r="C116" s="65">
        <f>C61</f>
        <v>1</v>
      </c>
      <c r="D116" s="18">
        <f>+SUM(E109:E115)</f>
        <v>0</v>
      </c>
      <c r="E116" s="18">
        <f t="shared" si="4"/>
        <v>0</v>
      </c>
      <c r="G116" s="9"/>
    </row>
    <row r="117" spans="1:7" ht="13.5" thickBot="1" x14ac:dyDescent="0.25">
      <c r="D117" s="106" t="s">
        <v>188</v>
      </c>
      <c r="E117" s="48">
        <f>$B$38</f>
        <v>0.40909090909090912</v>
      </c>
      <c r="F117" s="107">
        <f>E116*E117</f>
        <v>0</v>
      </c>
      <c r="G117" s="9"/>
    </row>
    <row r="118" spans="1:7" ht="11.25" customHeight="1" thickBot="1" x14ac:dyDescent="0.25">
      <c r="G118" s="9"/>
    </row>
    <row r="119" spans="1:7" ht="13.5" thickBot="1" x14ac:dyDescent="0.25">
      <c r="A119" s="24" t="s">
        <v>193</v>
      </c>
      <c r="B119" s="28"/>
      <c r="C119" s="28"/>
      <c r="D119" s="29"/>
      <c r="E119" s="30"/>
      <c r="F119" s="21">
        <f>+F104+F117</f>
        <v>0</v>
      </c>
      <c r="G119" s="9"/>
    </row>
    <row r="120" spans="1:7" ht="11.25" customHeight="1" x14ac:dyDescent="0.2">
      <c r="G120" s="9"/>
    </row>
    <row r="121" spans="1:7" x14ac:dyDescent="0.2">
      <c r="A121" s="11" t="s">
        <v>50</v>
      </c>
      <c r="G121" s="9"/>
    </row>
    <row r="122" spans="1:7" ht="11.25" customHeight="1" x14ac:dyDescent="0.2">
      <c r="B122" s="92"/>
      <c r="G122" s="9"/>
    </row>
    <row r="123" spans="1:7" x14ac:dyDescent="0.2">
      <c r="A123" s="7" t="s">
        <v>309</v>
      </c>
      <c r="G123" s="9"/>
    </row>
    <row r="124" spans="1:7" ht="11.25" customHeight="1" x14ac:dyDescent="0.2">
      <c r="G124" s="9"/>
    </row>
    <row r="125" spans="1:7" ht="13.5" thickBot="1" x14ac:dyDescent="0.25">
      <c r="A125" s="92" t="s">
        <v>42</v>
      </c>
      <c r="G125" s="9"/>
    </row>
    <row r="126" spans="1:7" ht="13.5" thickBot="1" x14ac:dyDescent="0.25">
      <c r="A126" s="56" t="s">
        <v>60</v>
      </c>
      <c r="B126" s="57" t="s">
        <v>61</v>
      </c>
      <c r="C126" s="57" t="s">
        <v>36</v>
      </c>
      <c r="D126" s="58" t="s">
        <v>224</v>
      </c>
      <c r="E126" s="58" t="s">
        <v>62</v>
      </c>
      <c r="F126" s="59" t="s">
        <v>63</v>
      </c>
      <c r="G126" s="9"/>
    </row>
    <row r="127" spans="1:7" x14ac:dyDescent="0.2">
      <c r="A127" s="13" t="s">
        <v>101</v>
      </c>
      <c r="B127" s="14" t="s">
        <v>8</v>
      </c>
      <c r="C127" s="14">
        <v>1</v>
      </c>
      <c r="D127" s="91" t="e">
        <f>#REF!</f>
        <v>#REF!</v>
      </c>
      <c r="E127" s="15" t="e">
        <f>C127*D127</f>
        <v>#REF!</v>
      </c>
      <c r="G127" s="9"/>
    </row>
    <row r="128" spans="1:7" x14ac:dyDescent="0.2">
      <c r="A128" s="16" t="s">
        <v>96</v>
      </c>
      <c r="B128" s="17" t="s">
        <v>97</v>
      </c>
      <c r="C128" s="17">
        <v>15</v>
      </c>
      <c r="D128" s="76"/>
      <c r="E128" s="18"/>
      <c r="G128" s="9"/>
    </row>
    <row r="129" spans="1:10" x14ac:dyDescent="0.2">
      <c r="A129" s="16" t="s">
        <v>199</v>
      </c>
      <c r="B129" s="17" t="s">
        <v>97</v>
      </c>
      <c r="C129" s="79">
        <v>0</v>
      </c>
      <c r="D129" s="18"/>
      <c r="E129" s="18"/>
      <c r="F129" s="20"/>
      <c r="I129" s="78"/>
      <c r="J129" s="78"/>
    </row>
    <row r="130" spans="1:10" x14ac:dyDescent="0.2">
      <c r="A130" s="16" t="s">
        <v>100</v>
      </c>
      <c r="B130" s="17" t="s">
        <v>1</v>
      </c>
      <c r="C130" s="121">
        <f>IFERROR(VLOOKUP(C128,'5. Depreciação'!A3:B17,2,FALSE),0)</f>
        <v>70.73</v>
      </c>
      <c r="D130" s="18" t="e">
        <f>E127</f>
        <v>#REF!</v>
      </c>
      <c r="E130" s="18" t="e">
        <f>C130*D130/100</f>
        <v>#REF!</v>
      </c>
    </row>
    <row r="131" spans="1:10" ht="13.5" thickBot="1" x14ac:dyDescent="0.25">
      <c r="A131" s="216" t="s">
        <v>46</v>
      </c>
      <c r="B131" s="217" t="s">
        <v>6</v>
      </c>
      <c r="C131" s="217">
        <f>C128*12</f>
        <v>180</v>
      </c>
      <c r="D131" s="218" t="e">
        <f>IF(C129&lt;=C128,E130,0)</f>
        <v>#REF!</v>
      </c>
      <c r="E131" s="218">
        <f>IFERROR(D131/C131,0)</f>
        <v>0</v>
      </c>
    </row>
    <row r="132" spans="1:10" ht="13.5" thickTop="1" x14ac:dyDescent="0.2">
      <c r="A132" s="227" t="s">
        <v>310</v>
      </c>
      <c r="B132" s="14" t="s">
        <v>8</v>
      </c>
      <c r="C132" s="14">
        <f>C127</f>
        <v>1</v>
      </c>
      <c r="D132" s="91" t="e">
        <f>#REF!</f>
        <v>#REF!</v>
      </c>
      <c r="E132" s="15" t="e">
        <f>C132*D132</f>
        <v>#REF!</v>
      </c>
      <c r="G132" s="9"/>
    </row>
    <row r="133" spans="1:10" x14ac:dyDescent="0.2">
      <c r="A133" s="16" t="s">
        <v>98</v>
      </c>
      <c r="B133" s="17" t="s">
        <v>97</v>
      </c>
      <c r="C133" s="17">
        <v>15</v>
      </c>
      <c r="D133" s="18"/>
      <c r="E133" s="18"/>
    </row>
    <row r="134" spans="1:10" x14ac:dyDescent="0.2">
      <c r="A134" s="16" t="s">
        <v>200</v>
      </c>
      <c r="B134" s="17" t="s">
        <v>97</v>
      </c>
      <c r="C134" s="79">
        <v>0</v>
      </c>
      <c r="D134" s="18"/>
      <c r="E134" s="18"/>
      <c r="F134" s="20"/>
      <c r="I134" s="78"/>
      <c r="J134" s="78"/>
    </row>
    <row r="135" spans="1:10" x14ac:dyDescent="0.2">
      <c r="A135" s="16" t="s">
        <v>99</v>
      </c>
      <c r="B135" s="17" t="s">
        <v>1</v>
      </c>
      <c r="C135" s="122">
        <f>IFERROR(VLOOKUP(C133,'5. Depreciação'!A3:B17,2,FALSE),0)</f>
        <v>70.73</v>
      </c>
      <c r="D135" s="18" t="e">
        <f>E132</f>
        <v>#REF!</v>
      </c>
      <c r="E135" s="18" t="e">
        <f>C135*D135/100</f>
        <v>#REF!</v>
      </c>
    </row>
    <row r="136" spans="1:10" x14ac:dyDescent="0.2">
      <c r="A136" s="88" t="s">
        <v>102</v>
      </c>
      <c r="B136" s="89" t="s">
        <v>6</v>
      </c>
      <c r="C136" s="89">
        <f>C133*12</f>
        <v>180</v>
      </c>
      <c r="D136" s="90" t="e">
        <f>IF(C134&lt;=C133,E135,0)</f>
        <v>#REF!</v>
      </c>
      <c r="E136" s="90">
        <f>IFERROR(D136/C136,0)</f>
        <v>0</v>
      </c>
    </row>
    <row r="137" spans="1:10" x14ac:dyDescent="0.2">
      <c r="A137" s="101" t="s">
        <v>241</v>
      </c>
      <c r="B137" s="102"/>
      <c r="C137" s="102"/>
      <c r="D137" s="103"/>
      <c r="E137" s="104">
        <f>E131+E136</f>
        <v>0</v>
      </c>
    </row>
    <row r="138" spans="1:10" ht="13.5" thickBot="1" x14ac:dyDescent="0.25">
      <c r="A138" s="88" t="s">
        <v>242</v>
      </c>
      <c r="B138" s="89" t="s">
        <v>8</v>
      </c>
      <c r="C138" s="17">
        <v>1</v>
      </c>
      <c r="D138" s="90">
        <f>E137</f>
        <v>0</v>
      </c>
      <c r="E138" s="104">
        <f>C138*D138</f>
        <v>0</v>
      </c>
    </row>
    <row r="139" spans="1:10" ht="13.5" thickBot="1" x14ac:dyDescent="0.25">
      <c r="A139" s="214"/>
      <c r="B139" s="214"/>
      <c r="C139" s="214"/>
      <c r="D139" s="106" t="s">
        <v>188</v>
      </c>
      <c r="E139" s="48">
        <f>$B$38</f>
        <v>0.40909090909090912</v>
      </c>
      <c r="F139" s="21">
        <f>E138*E139</f>
        <v>0</v>
      </c>
    </row>
    <row r="140" spans="1:10" ht="11.25" customHeight="1" x14ac:dyDescent="0.2"/>
    <row r="141" spans="1:10" ht="13.5" thickBot="1" x14ac:dyDescent="0.25">
      <c r="A141" s="92" t="s">
        <v>107</v>
      </c>
    </row>
    <row r="142" spans="1:10" ht="13.5" thickBot="1" x14ac:dyDescent="0.25">
      <c r="A142" s="94" t="s">
        <v>60</v>
      </c>
      <c r="B142" s="95" t="s">
        <v>61</v>
      </c>
      <c r="C142" s="95" t="s">
        <v>36</v>
      </c>
      <c r="D142" s="58" t="s">
        <v>224</v>
      </c>
      <c r="E142" s="96" t="s">
        <v>62</v>
      </c>
      <c r="F142" s="59" t="s">
        <v>63</v>
      </c>
      <c r="I142" s="78"/>
      <c r="J142" s="78"/>
    </row>
    <row r="143" spans="1:10" x14ac:dyDescent="0.2">
      <c r="A143" s="16" t="s">
        <v>105</v>
      </c>
      <c r="B143" s="17" t="s">
        <v>8</v>
      </c>
      <c r="C143" s="14">
        <v>1</v>
      </c>
      <c r="D143" s="18" t="e">
        <f>D127</f>
        <v>#REF!</v>
      </c>
      <c r="E143" s="18" t="e">
        <f>C143*D143</f>
        <v>#REF!</v>
      </c>
      <c r="F143" s="20"/>
      <c r="I143" s="78"/>
      <c r="J143" s="78"/>
    </row>
    <row r="144" spans="1:10" x14ac:dyDescent="0.2">
      <c r="A144" s="16" t="s">
        <v>203</v>
      </c>
      <c r="B144" s="17" t="s">
        <v>1</v>
      </c>
      <c r="C144" s="17">
        <v>11.25</v>
      </c>
      <c r="D144" s="18"/>
      <c r="E144" s="18"/>
      <c r="F144" s="20"/>
      <c r="I144" s="78"/>
      <c r="J144" s="78"/>
    </row>
    <row r="145" spans="1:10" x14ac:dyDescent="0.2">
      <c r="A145" s="16" t="s">
        <v>201</v>
      </c>
      <c r="B145" s="17" t="s">
        <v>31</v>
      </c>
      <c r="C145" s="126">
        <f>IFERROR(IF(C129&lt;=C128,E127-(C130/(100*C128)*C129)*E127,E127-E130),0)</f>
        <v>0</v>
      </c>
      <c r="D145" s="18"/>
      <c r="E145" s="18"/>
      <c r="F145" s="20"/>
      <c r="I145" s="78"/>
      <c r="J145" s="78"/>
    </row>
    <row r="146" spans="1:10" x14ac:dyDescent="0.2">
      <c r="A146" s="16" t="s">
        <v>110</v>
      </c>
      <c r="B146" s="17" t="s">
        <v>31</v>
      </c>
      <c r="C146" s="76">
        <f>IFERROR(IF(C129&gt;=C128,C145,((((C145)-(E127-E130))*(((C128-C129)+1)/(2*(C128-C129))))+(E127-E130))),0)</f>
        <v>0</v>
      </c>
      <c r="D146" s="18"/>
      <c r="E146" s="18"/>
      <c r="F146" s="20"/>
      <c r="I146" s="78"/>
      <c r="J146" s="78"/>
    </row>
    <row r="147" spans="1:10" ht="13.5" thickBot="1" x14ac:dyDescent="0.25">
      <c r="A147" s="216" t="s">
        <v>111</v>
      </c>
      <c r="B147" s="217" t="s">
        <v>31</v>
      </c>
      <c r="C147" s="217"/>
      <c r="D147" s="219">
        <f>C144*C146/12/100</f>
        <v>0</v>
      </c>
      <c r="E147" s="218">
        <f>D147</f>
        <v>0</v>
      </c>
      <c r="F147" s="20"/>
      <c r="I147" s="78"/>
      <c r="J147" s="78"/>
    </row>
    <row r="148" spans="1:10" ht="13.5" thickTop="1" x14ac:dyDescent="0.2">
      <c r="A148" s="13" t="s">
        <v>106</v>
      </c>
      <c r="B148" s="14" t="s">
        <v>8</v>
      </c>
      <c r="C148" s="14">
        <f>C132</f>
        <v>1</v>
      </c>
      <c r="D148" s="15" t="e">
        <f>D132</f>
        <v>#REF!</v>
      </c>
      <c r="E148" s="15" t="e">
        <f>C148*D148</f>
        <v>#REF!</v>
      </c>
      <c r="F148" s="20"/>
      <c r="I148" s="78"/>
      <c r="J148" s="78"/>
    </row>
    <row r="149" spans="1:10" x14ac:dyDescent="0.2">
      <c r="A149" s="16" t="s">
        <v>203</v>
      </c>
      <c r="B149" s="17" t="s">
        <v>1</v>
      </c>
      <c r="C149" s="17">
        <f>C144</f>
        <v>11.25</v>
      </c>
      <c r="D149" s="18"/>
      <c r="E149" s="18"/>
      <c r="F149" s="20"/>
      <c r="I149" s="78"/>
      <c r="J149" s="78"/>
    </row>
    <row r="150" spans="1:10" x14ac:dyDescent="0.2">
      <c r="A150" s="16" t="s">
        <v>202</v>
      </c>
      <c r="B150" s="17" t="s">
        <v>31</v>
      </c>
      <c r="C150" s="126">
        <f>IFERROR(IF(C134&lt;=C133,E132-(C135/(100*C133)*C134)*E132,E132-E135),0)</f>
        <v>0</v>
      </c>
      <c r="D150" s="18"/>
      <c r="E150" s="18"/>
      <c r="F150" s="20"/>
      <c r="I150" s="78"/>
      <c r="J150" s="78"/>
    </row>
    <row r="151" spans="1:10" x14ac:dyDescent="0.2">
      <c r="A151" s="16" t="s">
        <v>112</v>
      </c>
      <c r="B151" s="17" t="s">
        <v>31</v>
      </c>
      <c r="C151" s="76">
        <f>IFERROR(IF(C134&gt;=C133,C150,((((C150)-(E132-E135))*(((C133-C134)+1)/(2*(C133-C134))))+(E132-E135))),0)</f>
        <v>0</v>
      </c>
      <c r="D151" s="18"/>
      <c r="E151" s="18"/>
      <c r="F151" s="20"/>
      <c r="I151" s="78"/>
      <c r="J151" s="78"/>
    </row>
    <row r="152" spans="1:10" x14ac:dyDescent="0.2">
      <c r="A152" s="88" t="s">
        <v>109</v>
      </c>
      <c r="B152" s="89" t="s">
        <v>31</v>
      </c>
      <c r="C152" s="89"/>
      <c r="D152" s="98">
        <f>C149*C151/12/100</f>
        <v>0</v>
      </c>
      <c r="E152" s="90">
        <f>D152</f>
        <v>0</v>
      </c>
      <c r="F152" s="20"/>
      <c r="I152" s="78"/>
      <c r="J152" s="78"/>
    </row>
    <row r="153" spans="1:10" x14ac:dyDescent="0.2">
      <c r="A153" s="101" t="s">
        <v>241</v>
      </c>
      <c r="B153" s="102"/>
      <c r="C153" s="102"/>
      <c r="D153" s="103"/>
      <c r="E153" s="104">
        <f>E147+E152</f>
        <v>0</v>
      </c>
      <c r="F153" s="20"/>
      <c r="I153" s="78"/>
      <c r="J153" s="78"/>
    </row>
    <row r="154" spans="1:10" ht="13.5" thickBot="1" x14ac:dyDescent="0.25">
      <c r="A154" s="88" t="s">
        <v>242</v>
      </c>
      <c r="B154" s="89" t="s">
        <v>8</v>
      </c>
      <c r="C154" s="17">
        <f>C138</f>
        <v>1</v>
      </c>
      <c r="D154" s="90">
        <f>E153</f>
        <v>0</v>
      </c>
      <c r="E154" s="104">
        <f>C154*D154</f>
        <v>0</v>
      </c>
      <c r="F154" s="20"/>
      <c r="I154" s="78"/>
      <c r="J154" s="78"/>
    </row>
    <row r="155" spans="1:10" ht="13.5" thickBot="1" x14ac:dyDescent="0.25">
      <c r="C155" s="19"/>
      <c r="D155" s="106" t="s">
        <v>188</v>
      </c>
      <c r="E155" s="48">
        <f>$B$38</f>
        <v>0.40909090909090912</v>
      </c>
      <c r="F155" s="21">
        <f>E154*E155</f>
        <v>0</v>
      </c>
      <c r="I155" s="78"/>
      <c r="J155" s="78"/>
    </row>
    <row r="156" spans="1:10" ht="13.5" thickBot="1" x14ac:dyDescent="0.25">
      <c r="A156" s="9" t="s">
        <v>47</v>
      </c>
      <c r="I156" s="78"/>
      <c r="J156" s="78"/>
    </row>
    <row r="157" spans="1:10" ht="13.5" thickBot="1" x14ac:dyDescent="0.25">
      <c r="A157" s="56" t="s">
        <v>60</v>
      </c>
      <c r="B157" s="57" t="s">
        <v>61</v>
      </c>
      <c r="C157" s="57" t="s">
        <v>36</v>
      </c>
      <c r="D157" s="58" t="s">
        <v>224</v>
      </c>
      <c r="E157" s="58" t="s">
        <v>62</v>
      </c>
      <c r="F157" s="59" t="s">
        <v>63</v>
      </c>
      <c r="I157" s="78"/>
      <c r="J157" s="78"/>
    </row>
    <row r="158" spans="1:10" x14ac:dyDescent="0.2">
      <c r="A158" s="13" t="s">
        <v>10</v>
      </c>
      <c r="B158" s="14" t="s">
        <v>8</v>
      </c>
      <c r="C158" s="15">
        <f>C138</f>
        <v>1</v>
      </c>
      <c r="D158" s="15" t="e">
        <f>0.01*($E$127)</f>
        <v>#REF!</v>
      </c>
      <c r="E158" s="15" t="e">
        <f>C158*D158</f>
        <v>#REF!</v>
      </c>
      <c r="I158" s="78"/>
      <c r="J158" s="78"/>
    </row>
    <row r="159" spans="1:10" x14ac:dyDescent="0.2">
      <c r="A159" s="16" t="s">
        <v>187</v>
      </c>
      <c r="B159" s="17" t="s">
        <v>8</v>
      </c>
      <c r="C159" s="15">
        <f>C138</f>
        <v>1</v>
      </c>
      <c r="D159" s="81">
        <v>0</v>
      </c>
      <c r="E159" s="18">
        <f>C159*D159</f>
        <v>0</v>
      </c>
      <c r="I159" s="78"/>
      <c r="J159" s="78"/>
    </row>
    <row r="160" spans="1:10" x14ac:dyDescent="0.2">
      <c r="A160" s="16" t="s">
        <v>11</v>
      </c>
      <c r="B160" s="17" t="s">
        <v>8</v>
      </c>
      <c r="C160" s="15">
        <f>C138</f>
        <v>1</v>
      </c>
      <c r="D160" s="81">
        <v>0</v>
      </c>
      <c r="E160" s="18">
        <f>C160*D160</f>
        <v>0</v>
      </c>
      <c r="F160" s="31"/>
      <c r="I160" s="78"/>
      <c r="J160" s="78"/>
    </row>
    <row r="161" spans="1:10" ht="13.5" thickBot="1" x14ac:dyDescent="0.25">
      <c r="A161" s="88" t="s">
        <v>12</v>
      </c>
      <c r="B161" s="89" t="s">
        <v>6</v>
      </c>
      <c r="C161" s="89">
        <v>12</v>
      </c>
      <c r="D161" s="90" t="e">
        <f>SUM(E158:E160)</f>
        <v>#REF!</v>
      </c>
      <c r="E161" s="90" t="e">
        <f>D161/C161</f>
        <v>#REF!</v>
      </c>
      <c r="I161" s="78"/>
      <c r="J161" s="78"/>
    </row>
    <row r="162" spans="1:10" ht="13.5" thickBot="1" x14ac:dyDescent="0.25">
      <c r="D162" s="106" t="s">
        <v>188</v>
      </c>
      <c r="E162" s="48">
        <f>$B$38</f>
        <v>0.40909090909090912</v>
      </c>
      <c r="F162" s="107" t="e">
        <f>E161*E162</f>
        <v>#REF!</v>
      </c>
      <c r="I162" s="78"/>
      <c r="J162" s="78"/>
    </row>
    <row r="163" spans="1:10" ht="11.25" customHeight="1" x14ac:dyDescent="0.2">
      <c r="I163" s="78"/>
      <c r="J163" s="78"/>
    </row>
    <row r="164" spans="1:10" x14ac:dyDescent="0.2">
      <c r="A164" s="9" t="s">
        <v>48</v>
      </c>
      <c r="B164" s="32"/>
      <c r="I164" s="78"/>
      <c r="J164" s="78"/>
    </row>
    <row r="165" spans="1:10" x14ac:dyDescent="0.2">
      <c r="B165" s="32"/>
      <c r="I165" s="78"/>
      <c r="J165" s="78"/>
    </row>
    <row r="166" spans="1:10" x14ac:dyDescent="0.2">
      <c r="A166" s="88" t="s">
        <v>114</v>
      </c>
      <c r="B166" s="254">
        <v>715.71</v>
      </c>
      <c r="I166" s="78"/>
      <c r="J166" s="78"/>
    </row>
    <row r="167" spans="1:10" ht="13.5" thickBot="1" x14ac:dyDescent="0.25">
      <c r="B167" s="32"/>
      <c r="I167" s="78"/>
      <c r="J167" s="78"/>
    </row>
    <row r="168" spans="1:10" ht="13.5" thickBot="1" x14ac:dyDescent="0.25">
      <c r="A168" s="56" t="s">
        <v>60</v>
      </c>
      <c r="B168" s="57" t="s">
        <v>61</v>
      </c>
      <c r="C168" s="57" t="s">
        <v>240</v>
      </c>
      <c r="D168" s="58" t="s">
        <v>224</v>
      </c>
      <c r="E168" s="58" t="s">
        <v>62</v>
      </c>
      <c r="F168" s="59" t="s">
        <v>63</v>
      </c>
      <c r="I168" s="78"/>
      <c r="J168" s="78"/>
    </row>
    <row r="169" spans="1:10" x14ac:dyDescent="0.2">
      <c r="A169" s="13" t="s">
        <v>13</v>
      </c>
      <c r="B169" s="14" t="s">
        <v>14</v>
      </c>
      <c r="C169" s="85">
        <v>0</v>
      </c>
      <c r="D169" s="80">
        <v>0</v>
      </c>
      <c r="E169" s="15"/>
      <c r="I169" s="78"/>
      <c r="J169" s="78"/>
    </row>
    <row r="170" spans="1:10" x14ac:dyDescent="0.2">
      <c r="A170" s="16" t="s">
        <v>15</v>
      </c>
      <c r="B170" s="17" t="s">
        <v>16</v>
      </c>
      <c r="C170" s="84">
        <f>B166</f>
        <v>715.71</v>
      </c>
      <c r="D170" s="15" t="str">
        <f>IFERROR(+D169/C169,"-")</f>
        <v>-</v>
      </c>
      <c r="E170" s="18" t="str">
        <f>IFERROR(C170*D170,"-")</f>
        <v>-</v>
      </c>
      <c r="I170" s="78"/>
      <c r="J170" s="78"/>
    </row>
    <row r="171" spans="1:10" x14ac:dyDescent="0.2">
      <c r="A171" s="16" t="s">
        <v>225</v>
      </c>
      <c r="B171" s="17" t="s">
        <v>17</v>
      </c>
      <c r="C171" s="86">
        <v>0</v>
      </c>
      <c r="D171" s="80">
        <v>0</v>
      </c>
      <c r="E171" s="18"/>
      <c r="G171" s="97"/>
      <c r="I171" s="78"/>
      <c r="J171" s="78"/>
    </row>
    <row r="172" spans="1:10" x14ac:dyDescent="0.2">
      <c r="A172" s="16" t="s">
        <v>18</v>
      </c>
      <c r="B172" s="17" t="s">
        <v>16</v>
      </c>
      <c r="C172" s="84">
        <f>C170</f>
        <v>715.71</v>
      </c>
      <c r="D172" s="211">
        <f>+C171*D171/1000</f>
        <v>0</v>
      </c>
      <c r="E172" s="18">
        <f>C172*D172</f>
        <v>0</v>
      </c>
      <c r="G172" s="97"/>
      <c r="I172" s="78"/>
      <c r="J172" s="78"/>
    </row>
    <row r="173" spans="1:10" x14ac:dyDescent="0.2">
      <c r="A173" s="16" t="s">
        <v>226</v>
      </c>
      <c r="B173" s="17" t="s">
        <v>17</v>
      </c>
      <c r="C173" s="86">
        <v>0</v>
      </c>
      <c r="D173" s="80">
        <v>0</v>
      </c>
      <c r="E173" s="18"/>
      <c r="G173" s="97"/>
      <c r="I173" s="78"/>
      <c r="J173" s="78"/>
    </row>
    <row r="174" spans="1:10" x14ac:dyDescent="0.2">
      <c r="A174" s="16" t="s">
        <v>19</v>
      </c>
      <c r="B174" s="17" t="s">
        <v>16</v>
      </c>
      <c r="C174" s="84">
        <f>C170</f>
        <v>715.71</v>
      </c>
      <c r="D174" s="211">
        <f>+C173*D173/1000</f>
        <v>0</v>
      </c>
      <c r="E174" s="18">
        <f>C174*D174</f>
        <v>0</v>
      </c>
      <c r="G174" s="97"/>
      <c r="I174" s="78"/>
      <c r="J174" s="78"/>
    </row>
    <row r="175" spans="1:10" x14ac:dyDescent="0.2">
      <c r="A175" s="16" t="s">
        <v>227</v>
      </c>
      <c r="B175" s="17" t="s">
        <v>17</v>
      </c>
      <c r="C175" s="86">
        <v>0</v>
      </c>
      <c r="D175" s="80">
        <v>0</v>
      </c>
      <c r="E175" s="18"/>
      <c r="G175" s="97"/>
      <c r="I175" s="78"/>
      <c r="J175" s="78"/>
    </row>
    <row r="176" spans="1:10" x14ac:dyDescent="0.2">
      <c r="A176" s="16" t="s">
        <v>20</v>
      </c>
      <c r="B176" s="17" t="s">
        <v>16</v>
      </c>
      <c r="C176" s="84">
        <f>C170</f>
        <v>715.71</v>
      </c>
      <c r="D176" s="211">
        <f>+C175*D175/1000</f>
        <v>0</v>
      </c>
      <c r="E176" s="18">
        <f>C176*D176</f>
        <v>0</v>
      </c>
      <c r="G176" s="97"/>
      <c r="I176" s="78"/>
      <c r="J176" s="78"/>
    </row>
    <row r="177" spans="1:10" x14ac:dyDescent="0.2">
      <c r="A177" s="16" t="s">
        <v>21</v>
      </c>
      <c r="B177" s="17" t="s">
        <v>22</v>
      </c>
      <c r="C177" s="86">
        <v>0</v>
      </c>
      <c r="D177" s="81">
        <v>0</v>
      </c>
      <c r="E177" s="18"/>
      <c r="G177" s="97"/>
      <c r="I177" s="78"/>
      <c r="J177" s="78"/>
    </row>
    <row r="178" spans="1:10" x14ac:dyDescent="0.2">
      <c r="A178" s="16" t="s">
        <v>23</v>
      </c>
      <c r="B178" s="17" t="s">
        <v>16</v>
      </c>
      <c r="C178" s="84">
        <f>C170</f>
        <v>715.71</v>
      </c>
      <c r="D178" s="211">
        <f>+C177*D177/1000</f>
        <v>0</v>
      </c>
      <c r="E178" s="18">
        <f>C178*D178</f>
        <v>0</v>
      </c>
      <c r="G178" s="97"/>
      <c r="I178" s="78"/>
      <c r="J178" s="78"/>
    </row>
    <row r="179" spans="1:10" ht="13.5" thickBot="1" x14ac:dyDescent="0.25">
      <c r="A179" s="88" t="s">
        <v>239</v>
      </c>
      <c r="B179" s="89" t="s">
        <v>115</v>
      </c>
      <c r="C179" s="212"/>
      <c r="D179" s="213">
        <f>IFERROR(D170+D172+D174+D176+D178,0)</f>
        <v>0</v>
      </c>
      <c r="E179" s="18"/>
      <c r="G179" s="97"/>
      <c r="I179" s="78"/>
      <c r="J179" s="78"/>
    </row>
    <row r="180" spans="1:10" ht="13.5" thickBot="1" x14ac:dyDescent="0.25">
      <c r="F180" s="21">
        <f>SUM(E169:E178)</f>
        <v>0</v>
      </c>
      <c r="I180" s="78"/>
      <c r="J180" s="78"/>
    </row>
    <row r="181" spans="1:10" ht="11.25" customHeight="1" x14ac:dyDescent="0.2">
      <c r="I181" s="78"/>
      <c r="J181" s="78"/>
    </row>
    <row r="182" spans="1:10" ht="13.5" thickBot="1" x14ac:dyDescent="0.25">
      <c r="A182" s="9" t="s">
        <v>49</v>
      </c>
      <c r="I182" s="78"/>
      <c r="J182" s="78"/>
    </row>
    <row r="183" spans="1:10" ht="13.5" thickBot="1" x14ac:dyDescent="0.25">
      <c r="A183" s="56" t="s">
        <v>60</v>
      </c>
      <c r="B183" s="57" t="s">
        <v>61</v>
      </c>
      <c r="C183" s="57" t="s">
        <v>36</v>
      </c>
      <c r="D183" s="58" t="s">
        <v>224</v>
      </c>
      <c r="E183" s="58" t="s">
        <v>62</v>
      </c>
      <c r="F183" s="59" t="s">
        <v>63</v>
      </c>
      <c r="I183" s="78"/>
      <c r="J183" s="78"/>
    </row>
    <row r="184" spans="1:10" ht="13.5" thickBot="1" x14ac:dyDescent="0.25">
      <c r="A184" s="13" t="s">
        <v>113</v>
      </c>
      <c r="B184" s="14" t="s">
        <v>115</v>
      </c>
      <c r="C184" s="84">
        <f>C170</f>
        <v>715.71</v>
      </c>
      <c r="D184" s="80">
        <v>0</v>
      </c>
      <c r="E184" s="15">
        <f>C184*D184</f>
        <v>0</v>
      </c>
      <c r="I184" s="78"/>
      <c r="J184" s="78"/>
    </row>
    <row r="185" spans="1:10" ht="13.5" thickBot="1" x14ac:dyDescent="0.25">
      <c r="F185" s="21">
        <f>E184</f>
        <v>0</v>
      </c>
      <c r="I185" s="78"/>
      <c r="J185" s="78"/>
    </row>
    <row r="186" spans="1:10" ht="11.25" customHeight="1" x14ac:dyDescent="0.2">
      <c r="I186" s="78"/>
      <c r="J186" s="78"/>
    </row>
    <row r="187" spans="1:10" ht="13.5" thickBot="1" x14ac:dyDescent="0.25">
      <c r="A187" s="9" t="s">
        <v>58</v>
      </c>
      <c r="I187" s="78"/>
      <c r="J187" s="78"/>
    </row>
    <row r="188" spans="1:10" ht="13.5" thickBot="1" x14ac:dyDescent="0.25">
      <c r="A188" s="56" t="s">
        <v>60</v>
      </c>
      <c r="B188" s="57" t="s">
        <v>61</v>
      </c>
      <c r="C188" s="57" t="s">
        <v>36</v>
      </c>
      <c r="D188" s="58" t="s">
        <v>224</v>
      </c>
      <c r="E188" s="58" t="s">
        <v>62</v>
      </c>
      <c r="F188" s="59" t="s">
        <v>63</v>
      </c>
      <c r="I188" s="78"/>
      <c r="J188" s="78"/>
    </row>
    <row r="189" spans="1:10" x14ac:dyDescent="0.2">
      <c r="A189" s="13" t="s">
        <v>93</v>
      </c>
      <c r="B189" s="14" t="s">
        <v>8</v>
      </c>
      <c r="C189" s="14">
        <v>6</v>
      </c>
      <c r="D189" s="80">
        <v>0</v>
      </c>
      <c r="E189" s="15">
        <f>C189*D189</f>
        <v>0</v>
      </c>
      <c r="I189" s="78"/>
      <c r="J189" s="78"/>
    </row>
    <row r="190" spans="1:10" x14ac:dyDescent="0.2">
      <c r="A190" s="13" t="s">
        <v>116</v>
      </c>
      <c r="B190" s="14" t="s">
        <v>8</v>
      </c>
      <c r="C190" s="14">
        <v>2</v>
      </c>
      <c r="D190" s="91"/>
      <c r="E190" s="15"/>
      <c r="I190" s="78"/>
      <c r="J190" s="78"/>
    </row>
    <row r="191" spans="1:10" x14ac:dyDescent="0.2">
      <c r="A191" s="13" t="s">
        <v>67</v>
      </c>
      <c r="B191" s="14" t="s">
        <v>8</v>
      </c>
      <c r="C191" s="15">
        <f>C189*C190</f>
        <v>12</v>
      </c>
      <c r="D191" s="80">
        <v>0</v>
      </c>
      <c r="E191" s="15">
        <f>C191*D191</f>
        <v>0</v>
      </c>
      <c r="I191" s="78"/>
      <c r="J191" s="78"/>
    </row>
    <row r="192" spans="1:10" x14ac:dyDescent="0.2">
      <c r="A192" s="247" t="s">
        <v>285</v>
      </c>
      <c r="B192" s="17" t="s">
        <v>24</v>
      </c>
      <c r="C192" s="255">
        <v>60000</v>
      </c>
      <c r="D192" s="18">
        <f>E189+E191</f>
        <v>0</v>
      </c>
      <c r="E192" s="18">
        <f>IFERROR(D192/C192,"-")</f>
        <v>0</v>
      </c>
      <c r="I192" s="78"/>
      <c r="J192" s="78"/>
    </row>
    <row r="193" spans="1:10" ht="13.5" thickBot="1" x14ac:dyDescent="0.25">
      <c r="A193" s="16" t="s">
        <v>51</v>
      </c>
      <c r="B193" s="17" t="s">
        <v>16</v>
      </c>
      <c r="C193" s="84">
        <f>B166</f>
        <v>715.71</v>
      </c>
      <c r="D193" s="18">
        <f>E192</f>
        <v>0</v>
      </c>
      <c r="E193" s="18">
        <f>IFERROR(C193*D193,0)</f>
        <v>0</v>
      </c>
      <c r="I193" s="78"/>
      <c r="J193" s="78"/>
    </row>
    <row r="194" spans="1:10" ht="13.5" thickBot="1" x14ac:dyDescent="0.25">
      <c r="F194" s="21">
        <f>E193</f>
        <v>0</v>
      </c>
      <c r="I194" s="78"/>
      <c r="J194" s="78"/>
    </row>
    <row r="195" spans="1:10" ht="11.25" customHeight="1" x14ac:dyDescent="0.2">
      <c r="I195" s="78"/>
      <c r="J195" s="78"/>
    </row>
    <row r="196" spans="1:10" ht="11.25" customHeight="1" thickBot="1" x14ac:dyDescent="0.25">
      <c r="G196" s="9"/>
    </row>
    <row r="197" spans="1:10" ht="13.5" thickBot="1" x14ac:dyDescent="0.25">
      <c r="A197" s="24" t="s">
        <v>212</v>
      </c>
      <c r="B197" s="25"/>
      <c r="C197" s="25"/>
      <c r="D197" s="26"/>
      <c r="E197" s="27"/>
      <c r="F197" s="21" t="e">
        <f>+SUM(F127:F196)</f>
        <v>#REF!</v>
      </c>
      <c r="G197" s="9"/>
    </row>
    <row r="198" spans="1:10" ht="11.25" customHeight="1" x14ac:dyDescent="0.2">
      <c r="G198" s="9"/>
    </row>
    <row r="199" spans="1:10" x14ac:dyDescent="0.2">
      <c r="A199" s="11" t="s">
        <v>71</v>
      </c>
      <c r="B199" s="11"/>
      <c r="C199" s="11"/>
      <c r="D199" s="34"/>
      <c r="E199" s="34"/>
      <c r="F199" s="33"/>
      <c r="G199" s="9"/>
    </row>
    <row r="200" spans="1:10" ht="11.25" customHeight="1" thickBot="1" x14ac:dyDescent="0.25">
      <c r="G200" s="9"/>
    </row>
    <row r="201" spans="1:10" ht="13.5" thickBot="1" x14ac:dyDescent="0.25">
      <c r="A201" s="56" t="s">
        <v>60</v>
      </c>
      <c r="B201" s="57" t="s">
        <v>61</v>
      </c>
      <c r="C201" s="57" t="s">
        <v>36</v>
      </c>
      <c r="D201" s="58" t="s">
        <v>224</v>
      </c>
      <c r="E201" s="58" t="s">
        <v>62</v>
      </c>
      <c r="F201" s="59" t="s">
        <v>63</v>
      </c>
      <c r="G201" s="9"/>
    </row>
    <row r="202" spans="1:10" x14ac:dyDescent="0.2">
      <c r="A202" s="16" t="s">
        <v>68</v>
      </c>
      <c r="B202" s="17" t="s">
        <v>8</v>
      </c>
      <c r="C202" s="253">
        <v>0.16666666666666666</v>
      </c>
      <c r="D202" s="80">
        <v>0</v>
      </c>
      <c r="E202" s="18">
        <f>C202*D202</f>
        <v>0</v>
      </c>
      <c r="F202" s="51"/>
      <c r="G202" s="9"/>
    </row>
    <row r="203" spans="1:10" x14ac:dyDescent="0.2">
      <c r="A203" s="16" t="s">
        <v>25</v>
      </c>
      <c r="B203" s="17" t="s">
        <v>8</v>
      </c>
      <c r="C203" s="253">
        <v>0.16666666666666666</v>
      </c>
      <c r="D203" s="80">
        <v>0</v>
      </c>
      <c r="E203" s="18">
        <f>C203*D203</f>
        <v>0</v>
      </c>
      <c r="F203" s="51"/>
      <c r="G203" s="9"/>
    </row>
    <row r="204" spans="1:10" x14ac:dyDescent="0.2">
      <c r="A204" s="16" t="s">
        <v>26</v>
      </c>
      <c r="B204" s="17" t="s">
        <v>8</v>
      </c>
      <c r="C204" s="253">
        <v>0.33333333333333331</v>
      </c>
      <c r="D204" s="80">
        <v>0</v>
      </c>
      <c r="E204" s="18">
        <f>C204*D204</f>
        <v>0</v>
      </c>
      <c r="F204" s="51"/>
      <c r="G204" s="9"/>
    </row>
    <row r="205" spans="1:10" x14ac:dyDescent="0.2">
      <c r="A205" s="247" t="s">
        <v>286</v>
      </c>
      <c r="B205" s="17" t="s">
        <v>54</v>
      </c>
      <c r="C205" s="253">
        <v>0.33333333333333331</v>
      </c>
      <c r="D205" s="80">
        <v>0</v>
      </c>
      <c r="E205" s="18">
        <f>C205*D205</f>
        <v>0</v>
      </c>
      <c r="F205" s="51"/>
      <c r="G205" s="9"/>
    </row>
    <row r="206" spans="1:10" ht="13.5" thickBot="1" x14ac:dyDescent="0.25">
      <c r="A206" s="16" t="s">
        <v>56</v>
      </c>
      <c r="B206" s="17" t="s">
        <v>54</v>
      </c>
      <c r="C206" s="253">
        <v>0.33333333333333331</v>
      </c>
      <c r="D206" s="80">
        <v>0</v>
      </c>
      <c r="E206" s="18">
        <f>C206*D206</f>
        <v>0</v>
      </c>
      <c r="F206" s="51"/>
      <c r="G206" s="9"/>
    </row>
    <row r="207" spans="1:10" ht="13.5" thickBot="1" x14ac:dyDescent="0.25">
      <c r="A207" s="11"/>
      <c r="B207" s="11"/>
      <c r="C207" s="11"/>
      <c r="D207" s="11"/>
      <c r="E207" s="34"/>
      <c r="F207" s="21">
        <f>SUM(E202:E206)</f>
        <v>0</v>
      </c>
      <c r="G207" s="9"/>
    </row>
    <row r="208" spans="1:10" ht="11.25" customHeight="1" thickBot="1" x14ac:dyDescent="0.25">
      <c r="G208" s="9"/>
    </row>
    <row r="209" spans="1:7" ht="13.5" thickBot="1" x14ac:dyDescent="0.25">
      <c r="A209" s="24" t="s">
        <v>213</v>
      </c>
      <c r="B209" s="25"/>
      <c r="C209" s="25"/>
      <c r="D209" s="26"/>
      <c r="E209" s="27"/>
      <c r="F209" s="21">
        <f>+F207</f>
        <v>0</v>
      </c>
      <c r="G209" s="9"/>
    </row>
    <row r="210" spans="1:7" ht="11.25" customHeight="1" x14ac:dyDescent="0.2">
      <c r="G210" s="9"/>
    </row>
    <row r="211" spans="1:7" x14ac:dyDescent="0.2">
      <c r="A211" s="11" t="s">
        <v>72</v>
      </c>
      <c r="B211" s="11"/>
      <c r="C211" s="11"/>
      <c r="D211" s="34"/>
      <c r="E211" s="34"/>
      <c r="F211" s="33"/>
    </row>
    <row r="212" spans="1:7" ht="11.25" customHeight="1" thickBot="1" x14ac:dyDescent="0.25"/>
    <row r="213" spans="1:7" ht="13.5" thickBot="1" x14ac:dyDescent="0.25">
      <c r="A213" s="56" t="s">
        <v>60</v>
      </c>
      <c r="B213" s="57" t="s">
        <v>61</v>
      </c>
      <c r="C213" s="57" t="s">
        <v>36</v>
      </c>
      <c r="D213" s="58" t="s">
        <v>224</v>
      </c>
      <c r="E213" s="58" t="s">
        <v>62</v>
      </c>
      <c r="F213" s="59" t="s">
        <v>63</v>
      </c>
    </row>
    <row r="214" spans="1:7" x14ac:dyDescent="0.2">
      <c r="A214" s="16" t="s">
        <v>210</v>
      </c>
      <c r="B214" s="50" t="s">
        <v>54</v>
      </c>
      <c r="C214" s="65">
        <f>C127</f>
        <v>1</v>
      </c>
      <c r="D214" s="250">
        <v>0</v>
      </c>
      <c r="E214" s="249">
        <f>+D214*C214</f>
        <v>0</v>
      </c>
      <c r="F214" s="51"/>
    </row>
    <row r="215" spans="1:7" x14ac:dyDescent="0.2">
      <c r="A215" s="16" t="s">
        <v>57</v>
      </c>
      <c r="B215" s="50" t="s">
        <v>6</v>
      </c>
      <c r="C215" s="17">
        <v>60</v>
      </c>
      <c r="D215" s="249">
        <f>SUM(E214:E214)</f>
        <v>0</v>
      </c>
      <c r="E215" s="249">
        <f>+D215/C215</f>
        <v>0</v>
      </c>
      <c r="F215" s="51"/>
    </row>
    <row r="216" spans="1:7" x14ac:dyDescent="0.2">
      <c r="A216" s="16" t="s">
        <v>211</v>
      </c>
      <c r="B216" s="17" t="s">
        <v>8</v>
      </c>
      <c r="C216" s="65">
        <f>+C214</f>
        <v>1</v>
      </c>
      <c r="D216" s="250">
        <v>0</v>
      </c>
      <c r="E216" s="249">
        <f>C216*D216</f>
        <v>0</v>
      </c>
      <c r="F216" s="51"/>
    </row>
    <row r="217" spans="1:7" ht="13.5" thickBot="1" x14ac:dyDescent="0.25">
      <c r="A217" s="16" t="s">
        <v>33</v>
      </c>
      <c r="B217" s="50" t="s">
        <v>6</v>
      </c>
      <c r="C217" s="17">
        <v>1</v>
      </c>
      <c r="D217" s="249">
        <f>+E216</f>
        <v>0</v>
      </c>
      <c r="E217" s="249">
        <f>+D217/C217</f>
        <v>0</v>
      </c>
      <c r="F217" s="51"/>
    </row>
    <row r="218" spans="1:7" ht="13.5" thickBot="1" x14ac:dyDescent="0.25">
      <c r="A218" s="12"/>
      <c r="B218" s="12"/>
      <c r="C218" s="12"/>
      <c r="D218" s="106" t="s">
        <v>188</v>
      </c>
      <c r="E218" s="48">
        <f>$B$38</f>
        <v>0.40909090909090912</v>
      </c>
      <c r="F218" s="21">
        <f>(E215+E217)*E218</f>
        <v>0</v>
      </c>
    </row>
    <row r="219" spans="1:7" s="49" customFormat="1" ht="11.25" customHeight="1" thickBot="1" x14ac:dyDescent="0.25">
      <c r="A219" s="9"/>
      <c r="B219" s="9"/>
      <c r="C219" s="9"/>
      <c r="D219" s="10"/>
      <c r="E219" s="10"/>
      <c r="F219" s="10"/>
      <c r="G219" s="77"/>
    </row>
    <row r="220" spans="1:7" ht="13.5" thickBot="1" x14ac:dyDescent="0.25">
      <c r="A220" s="24" t="s">
        <v>209</v>
      </c>
      <c r="B220" s="25"/>
      <c r="C220" s="25"/>
      <c r="D220" s="26"/>
      <c r="E220" s="27"/>
      <c r="F220" s="21">
        <f>+F218</f>
        <v>0</v>
      </c>
    </row>
    <row r="221" spans="1:7" ht="11.25" customHeight="1" thickBot="1" x14ac:dyDescent="0.25"/>
    <row r="222" spans="1:7" ht="17.25" customHeight="1" thickBot="1" x14ac:dyDescent="0.25">
      <c r="A222" s="24" t="s">
        <v>214</v>
      </c>
      <c r="B222" s="28"/>
      <c r="C222" s="28"/>
      <c r="D222" s="29"/>
      <c r="E222" s="30"/>
      <c r="F222" s="22" t="e">
        <f>+F85+F119+F197+F209+F220</f>
        <v>#DIV/0!</v>
      </c>
    </row>
    <row r="223" spans="1:7" ht="11.25" customHeight="1" x14ac:dyDescent="0.2"/>
    <row r="224" spans="1:7" x14ac:dyDescent="0.2">
      <c r="A224" s="11" t="s">
        <v>87</v>
      </c>
    </row>
    <row r="225" spans="1:6" ht="11.25" customHeight="1" thickBot="1" x14ac:dyDescent="0.25"/>
    <row r="226" spans="1:6" ht="13.5" thickBot="1" x14ac:dyDescent="0.25">
      <c r="A226" s="56" t="s">
        <v>60</v>
      </c>
      <c r="B226" s="57" t="s">
        <v>61</v>
      </c>
      <c r="C226" s="57" t="s">
        <v>36</v>
      </c>
      <c r="D226" s="58" t="s">
        <v>224</v>
      </c>
      <c r="E226" s="58" t="s">
        <v>62</v>
      </c>
      <c r="F226" s="59" t="s">
        <v>63</v>
      </c>
    </row>
    <row r="227" spans="1:6" ht="13.5" thickBot="1" x14ac:dyDescent="0.25">
      <c r="A227" s="13" t="s">
        <v>32</v>
      </c>
      <c r="B227" s="14" t="s">
        <v>1</v>
      </c>
      <c r="C227" s="121">
        <f>'4.BDI'!C14*100</f>
        <v>21.51</v>
      </c>
      <c r="D227" s="15" t="e">
        <f>+F222</f>
        <v>#DIV/0!</v>
      </c>
      <c r="E227" s="15" t="e">
        <f>C227*D227/100</f>
        <v>#DIV/0!</v>
      </c>
    </row>
    <row r="228" spans="1:6" ht="13.5" thickBot="1" x14ac:dyDescent="0.25">
      <c r="F228" s="21" t="e">
        <f>+E227</f>
        <v>#DIV/0!</v>
      </c>
    </row>
    <row r="229" spans="1:6" ht="11.25" customHeight="1" thickBot="1" x14ac:dyDescent="0.25"/>
    <row r="230" spans="1:6" ht="13.5" thickBot="1" x14ac:dyDescent="0.25">
      <c r="A230" s="24" t="s">
        <v>229</v>
      </c>
      <c r="B230" s="28"/>
      <c r="C230" s="28"/>
      <c r="D230" s="29"/>
      <c r="E230" s="30"/>
      <c r="F230" s="22" t="e">
        <f>F228</f>
        <v>#DIV/0!</v>
      </c>
    </row>
    <row r="231" spans="1:6" x14ac:dyDescent="0.2">
      <c r="A231" s="11"/>
      <c r="B231" s="11"/>
      <c r="C231" s="11"/>
      <c r="D231" s="34"/>
      <c r="E231" s="34"/>
      <c r="F231" s="33"/>
    </row>
    <row r="232" spans="1:6" ht="11.25" customHeight="1" thickBot="1" x14ac:dyDescent="0.25"/>
    <row r="233" spans="1:6" ht="24.75" customHeight="1" thickBot="1" x14ac:dyDescent="0.25">
      <c r="A233" s="24" t="s">
        <v>215</v>
      </c>
      <c r="B233" s="28"/>
      <c r="C233" s="28"/>
      <c r="D233" s="29"/>
      <c r="E233" s="30"/>
      <c r="F233" s="22" t="e">
        <f>F222+F230</f>
        <v>#DIV/0!</v>
      </c>
    </row>
    <row r="234" spans="1:6" ht="12.6" customHeight="1" x14ac:dyDescent="0.2">
      <c r="A234" s="52"/>
      <c r="B234" s="52"/>
      <c r="C234" s="52"/>
      <c r="D234" s="53"/>
      <c r="E234" s="53"/>
      <c r="F234" s="53"/>
    </row>
    <row r="264" s="9" customFormat="1" ht="9" customHeight="1" x14ac:dyDescent="0.2"/>
  </sheetData>
  <mergeCells count="7">
    <mergeCell ref="A34:D34"/>
    <mergeCell ref="A13:C13"/>
    <mergeCell ref="A2:F2"/>
    <mergeCell ref="A3:F3"/>
    <mergeCell ref="A29:D29"/>
    <mergeCell ref="A5:F5"/>
    <mergeCell ref="A28:E28"/>
  </mergeCells>
  <phoneticPr fontId="9" type="noConversion"/>
  <hyperlinks>
    <hyperlink ref="A141" location="AbaRemun" display="3.1.2. Remuneração do Capital" xr:uid="{00000000-0004-0000-0000-000000000000}"/>
    <hyperlink ref="A125" location="AbaDeprec" display="3.1.1. Depreciação" xr:uid="{00000000-0004-0000-0000-000001000000}"/>
  </hyperlinks>
  <pageMargins left="0.9055118110236221" right="0.51181102362204722" top="1.5748031496062993" bottom="0.74803149606299213" header="0.31496062992125984" footer="0.31496062992125984"/>
  <pageSetup paperSize="9" scale="76" fitToHeight="0" orientation="portrait" r:id="rId1"/>
  <headerFooter alignWithMargins="0">
    <oddFooter>&amp;R&amp;P de &amp;N</oddFooter>
  </headerFooter>
  <rowBreaks count="4" manualBreakCount="4">
    <brk id="39" max="5" man="1"/>
    <brk id="86" max="5" man="1"/>
    <brk id="155" max="5" man="1"/>
    <brk id="198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83BB3-C3CD-49B6-9989-CDC389C67BC6}">
  <sheetPr codeName="Planilha3">
    <pageSetUpPr fitToPage="1"/>
  </sheetPr>
  <dimension ref="A1:J242"/>
  <sheetViews>
    <sheetView view="pageBreakPreview" topLeftCell="A184" zoomScaleNormal="100" zoomScaleSheetLayoutView="100" workbookViewId="0">
      <selection activeCell="C196" sqref="C196"/>
    </sheetView>
  </sheetViews>
  <sheetFormatPr defaultRowHeight="12.75" x14ac:dyDescent="0.2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s="4" customFormat="1" ht="16.5" customHeight="1" thickBot="1" x14ac:dyDescent="0.25">
      <c r="A1" s="7"/>
      <c r="B1" s="5"/>
      <c r="C1" s="5"/>
      <c r="D1" s="6"/>
      <c r="E1" s="6"/>
      <c r="F1" s="6"/>
      <c r="G1" s="6"/>
    </row>
    <row r="2" spans="1:7" s="8" customFormat="1" ht="18" x14ac:dyDescent="0.2">
      <c r="A2" s="292" t="s">
        <v>295</v>
      </c>
      <c r="B2" s="293"/>
      <c r="C2" s="293"/>
      <c r="D2" s="293"/>
      <c r="E2" s="293"/>
      <c r="F2" s="294"/>
      <c r="G2" s="35"/>
    </row>
    <row r="3" spans="1:7" s="8" customFormat="1" ht="21.75" customHeight="1" x14ac:dyDescent="0.2">
      <c r="A3" s="295" t="s">
        <v>39</v>
      </c>
      <c r="B3" s="296"/>
      <c r="C3" s="296"/>
      <c r="D3" s="296"/>
      <c r="E3" s="296"/>
      <c r="F3" s="297"/>
      <c r="G3" s="35"/>
    </row>
    <row r="4" spans="1:7" s="4" customFormat="1" ht="10.9" customHeight="1" thickBot="1" x14ac:dyDescent="0.25">
      <c r="A4" s="128"/>
      <c r="B4" s="5"/>
      <c r="C4" s="5"/>
      <c r="D4" s="129"/>
      <c r="E4" s="129"/>
      <c r="F4" s="130"/>
      <c r="G4" s="6"/>
    </row>
    <row r="5" spans="1:7" s="4" customFormat="1" ht="15.75" customHeight="1" thickBot="1" x14ac:dyDescent="0.25">
      <c r="A5" s="301" t="s">
        <v>195</v>
      </c>
      <c r="B5" s="302"/>
      <c r="C5" s="302"/>
      <c r="D5" s="302"/>
      <c r="E5" s="302"/>
      <c r="F5" s="303"/>
      <c r="G5" s="6"/>
    </row>
    <row r="6" spans="1:7" s="4" customFormat="1" ht="15.75" customHeight="1" x14ac:dyDescent="0.2">
      <c r="A6" s="60" t="s">
        <v>194</v>
      </c>
      <c r="B6" s="38"/>
      <c r="C6" s="38"/>
      <c r="D6" s="201"/>
      <c r="E6" s="100" t="s">
        <v>34</v>
      </c>
      <c r="F6" s="39" t="s">
        <v>1</v>
      </c>
      <c r="G6" s="6"/>
    </row>
    <row r="7" spans="1:7" s="11" customFormat="1" ht="15.75" customHeight="1" x14ac:dyDescent="0.2">
      <c r="A7" s="108" t="str">
        <f>A39</f>
        <v>1. Mão-de-obra</v>
      </c>
      <c r="B7" s="109"/>
      <c r="C7" s="110"/>
      <c r="D7" s="110"/>
      <c r="E7" s="198" t="e">
        <f>+F71</f>
        <v>#DIV/0!</v>
      </c>
      <c r="F7" s="111">
        <f t="shared" ref="F7:F22" si="0">IFERROR(E7/$E$25,0)</f>
        <v>0</v>
      </c>
      <c r="G7" s="42"/>
    </row>
    <row r="8" spans="1:7" s="4" customFormat="1" ht="15.75" customHeight="1" x14ac:dyDescent="0.2">
      <c r="A8" s="47" t="str">
        <f>A41</f>
        <v>1.1. Motorista Turno do Dia</v>
      </c>
      <c r="B8" s="43"/>
      <c r="C8" s="45"/>
      <c r="D8" s="45"/>
      <c r="E8" s="199" t="e">
        <f>F51</f>
        <v>#DIV/0!</v>
      </c>
      <c r="F8" s="54">
        <f t="shared" si="0"/>
        <v>0</v>
      </c>
      <c r="G8" s="6"/>
    </row>
    <row r="9" spans="1:7" s="4" customFormat="1" ht="15.75" customHeight="1" x14ac:dyDescent="0.2">
      <c r="A9" s="47" t="str">
        <f>A54</f>
        <v>1.2. Vale Transporte</v>
      </c>
      <c r="B9" s="43"/>
      <c r="C9" s="45"/>
      <c r="D9" s="45"/>
      <c r="E9" s="199">
        <f>F59</f>
        <v>0</v>
      </c>
      <c r="F9" s="54">
        <f t="shared" si="0"/>
        <v>0</v>
      </c>
      <c r="G9" s="6"/>
    </row>
    <row r="10" spans="1:7" s="4" customFormat="1" ht="15.75" customHeight="1" x14ac:dyDescent="0.2">
      <c r="A10" s="47" t="str">
        <f>A61</f>
        <v>1.4. Vale-refeição (diário)</v>
      </c>
      <c r="B10" s="43"/>
      <c r="C10" s="45"/>
      <c r="D10" s="45"/>
      <c r="E10" s="199">
        <f>F64</f>
        <v>0</v>
      </c>
      <c r="F10" s="54">
        <f t="shared" si="0"/>
        <v>0</v>
      </c>
      <c r="G10" s="6"/>
    </row>
    <row r="11" spans="1:7" s="4" customFormat="1" ht="15.75" customHeight="1" x14ac:dyDescent="0.2">
      <c r="A11" s="47" t="str">
        <f>A66</f>
        <v>1.5. Auxílio Alimentação (mensal)</v>
      </c>
      <c r="B11" s="43"/>
      <c r="C11" s="45"/>
      <c r="D11" s="45"/>
      <c r="E11" s="199">
        <f>F69</f>
        <v>0</v>
      </c>
      <c r="F11" s="54">
        <f t="shared" si="0"/>
        <v>0</v>
      </c>
      <c r="G11" s="6"/>
    </row>
    <row r="12" spans="1:7" s="11" customFormat="1" ht="15.75" customHeight="1" x14ac:dyDescent="0.2">
      <c r="A12" s="290" t="str">
        <f>A73</f>
        <v>2. Uniformes e Equipamentos de Proteção Individual</v>
      </c>
      <c r="B12" s="291"/>
      <c r="C12" s="291"/>
      <c r="D12" s="110"/>
      <c r="E12" s="198">
        <f>+F89</f>
        <v>0</v>
      </c>
      <c r="F12" s="111">
        <f t="shared" si="0"/>
        <v>0</v>
      </c>
      <c r="G12" s="42"/>
    </row>
    <row r="13" spans="1:7" s="11" customFormat="1" ht="15.75" customHeight="1" x14ac:dyDescent="0.2">
      <c r="A13" s="119" t="str">
        <f>A91</f>
        <v>3. Veículos e Equipamentos</v>
      </c>
      <c r="B13" s="120"/>
      <c r="C13" s="110"/>
      <c r="D13" s="110"/>
      <c r="E13" s="198">
        <f>+F165</f>
        <v>0</v>
      </c>
      <c r="F13" s="111">
        <f t="shared" si="0"/>
        <v>0</v>
      </c>
      <c r="G13" s="42"/>
    </row>
    <row r="14" spans="1:7" s="4" customFormat="1" ht="15.75" customHeight="1" x14ac:dyDescent="0.2">
      <c r="A14" s="61" t="str">
        <f>A93</f>
        <v>3.1.  Veículo Coletor Caminhão Caçamba 12 m³</v>
      </c>
      <c r="B14" s="44"/>
      <c r="C14" s="45"/>
      <c r="D14" s="45"/>
      <c r="E14" s="199">
        <f>SUM(E15:E20)</f>
        <v>0</v>
      </c>
      <c r="F14" s="123">
        <f t="shared" si="0"/>
        <v>0</v>
      </c>
      <c r="G14" s="6"/>
    </row>
    <row r="15" spans="1:7" s="4" customFormat="1" ht="15.75" customHeight="1" x14ac:dyDescent="0.2">
      <c r="A15" s="61" t="str">
        <f>A94</f>
        <v>3.1.1. Depreciação</v>
      </c>
      <c r="B15" s="44"/>
      <c r="C15" s="45"/>
      <c r="D15" s="45"/>
      <c r="E15" s="199">
        <f>F108</f>
        <v>0</v>
      </c>
      <c r="F15" s="123">
        <f t="shared" si="0"/>
        <v>0</v>
      </c>
      <c r="G15" s="6"/>
    </row>
    <row r="16" spans="1:7" s="4" customFormat="1" ht="15.75" customHeight="1" x14ac:dyDescent="0.2">
      <c r="A16" s="61" t="str">
        <f>A110</f>
        <v>3.1.2. Remuneração do Capital</v>
      </c>
      <c r="B16" s="44"/>
      <c r="C16" s="45"/>
      <c r="D16" s="45"/>
      <c r="E16" s="199">
        <f>F124</f>
        <v>0</v>
      </c>
      <c r="F16" s="123">
        <f t="shared" si="0"/>
        <v>0</v>
      </c>
      <c r="G16" s="6"/>
    </row>
    <row r="17" spans="1:7" s="4" customFormat="1" ht="15.75" customHeight="1" x14ac:dyDescent="0.2">
      <c r="A17" s="61" t="str">
        <f>A125</f>
        <v>3.1.3. Impostos e Seguros</v>
      </c>
      <c r="B17" s="44"/>
      <c r="C17" s="45"/>
      <c r="D17" s="45"/>
      <c r="E17" s="199">
        <f>F131</f>
        <v>0</v>
      </c>
      <c r="F17" s="123">
        <f t="shared" si="0"/>
        <v>0</v>
      </c>
      <c r="G17" s="6"/>
    </row>
    <row r="18" spans="1:7" s="4" customFormat="1" ht="15.75" customHeight="1" x14ac:dyDescent="0.2">
      <c r="A18" s="61" t="str">
        <f>A133</f>
        <v>3.1.4. Consumos</v>
      </c>
      <c r="B18" s="44"/>
      <c r="C18" s="45"/>
      <c r="D18" s="45"/>
      <c r="E18" s="199">
        <f>F149</f>
        <v>0</v>
      </c>
      <c r="F18" s="123">
        <f t="shared" si="0"/>
        <v>0</v>
      </c>
      <c r="G18" s="6"/>
    </row>
    <row r="19" spans="1:7" s="4" customFormat="1" ht="15.75" customHeight="1" x14ac:dyDescent="0.2">
      <c r="A19" s="61" t="str">
        <f>A151</f>
        <v>3.1.5. Manutenção</v>
      </c>
      <c r="B19" s="44"/>
      <c r="C19" s="45"/>
      <c r="D19" s="45"/>
      <c r="E19" s="199">
        <f>F154</f>
        <v>0</v>
      </c>
      <c r="F19" s="123">
        <f t="shared" si="0"/>
        <v>0</v>
      </c>
      <c r="G19" s="6"/>
    </row>
    <row r="20" spans="1:7" s="4" customFormat="1" ht="15.75" customHeight="1" x14ac:dyDescent="0.2">
      <c r="A20" s="61" t="str">
        <f>A156</f>
        <v>3.1.6. Pneus</v>
      </c>
      <c r="B20" s="44"/>
      <c r="C20" s="45"/>
      <c r="D20" s="45"/>
      <c r="E20" s="199">
        <f>F163</f>
        <v>0</v>
      </c>
      <c r="F20" s="123">
        <f t="shared" si="0"/>
        <v>0</v>
      </c>
      <c r="G20" s="6"/>
    </row>
    <row r="21" spans="1:7" s="11" customFormat="1" ht="15.75" customHeight="1" x14ac:dyDescent="0.2">
      <c r="A21" s="119" t="str">
        <f>A167</f>
        <v>4. Ferramentas e Materiais de Consumo</v>
      </c>
      <c r="B21" s="120"/>
      <c r="C21" s="110"/>
      <c r="D21" s="110"/>
      <c r="E21" s="198">
        <f>+F177</f>
        <v>0</v>
      </c>
      <c r="F21" s="111">
        <f t="shared" si="0"/>
        <v>0</v>
      </c>
      <c r="G21" s="42"/>
    </row>
    <row r="22" spans="1:7" s="11" customFormat="1" ht="15.75" customHeight="1" x14ac:dyDescent="0.2">
      <c r="A22" s="119" t="str">
        <f>A179</f>
        <v>5. Monitoramento da Frota</v>
      </c>
      <c r="B22" s="120"/>
      <c r="C22" s="110"/>
      <c r="D22" s="110"/>
      <c r="E22" s="198">
        <f>+F188</f>
        <v>0</v>
      </c>
      <c r="F22" s="111">
        <f t="shared" si="0"/>
        <v>0</v>
      </c>
      <c r="G22" s="42"/>
    </row>
    <row r="23" spans="1:7" s="11" customFormat="1" ht="15.75" customHeight="1" x14ac:dyDescent="0.2">
      <c r="A23" s="119" t="str">
        <f>A192</f>
        <v>6. Destinação em Aterro Sanitário</v>
      </c>
      <c r="B23" s="120"/>
      <c r="C23" s="110"/>
      <c r="D23" s="110"/>
      <c r="E23" s="198" t="e">
        <f>+F198</f>
        <v>#REF!</v>
      </c>
      <c r="F23" s="111">
        <f t="shared" ref="F23" si="1">IFERROR(E23/$E$25,0)</f>
        <v>0</v>
      </c>
      <c r="G23" s="42"/>
    </row>
    <row r="24" spans="1:7" s="11" customFormat="1" ht="15.75" customHeight="1" thickBot="1" x14ac:dyDescent="0.25">
      <c r="A24" s="119" t="str">
        <f>A202</f>
        <v>7. Benefícios e Despesas Indiretas - BDI</v>
      </c>
      <c r="B24" s="120"/>
      <c r="C24" s="110"/>
      <c r="D24" s="110"/>
      <c r="E24" s="200" t="e">
        <f>+F208</f>
        <v>#DIV/0!</v>
      </c>
      <c r="F24" s="111">
        <f>IFERROR(E24/$E$25,0)</f>
        <v>0</v>
      </c>
      <c r="G24" s="42"/>
    </row>
    <row r="25" spans="1:7" s="4" customFormat="1" ht="15.75" customHeight="1" thickBot="1" x14ac:dyDescent="0.25">
      <c r="A25" s="40" t="s">
        <v>228</v>
      </c>
      <c r="B25" s="41"/>
      <c r="C25" s="26"/>
      <c r="D25" s="26"/>
      <c r="E25" s="99" t="e">
        <f>E7+E12+E13+E21+E22+E23+E24</f>
        <v>#DIV/0!</v>
      </c>
      <c r="F25" s="252">
        <f>F7+F12+F13+F21+F22+F23+F24</f>
        <v>0</v>
      </c>
      <c r="G25" s="6"/>
    </row>
    <row r="27" spans="1:7" ht="13.5" thickBot="1" x14ac:dyDescent="0.25"/>
    <row r="28" spans="1:7" s="4" customFormat="1" ht="15" customHeight="1" thickBot="1" x14ac:dyDescent="0.25">
      <c r="A28" s="301" t="s">
        <v>94</v>
      </c>
      <c r="B28" s="302"/>
      <c r="C28" s="302"/>
      <c r="D28" s="302"/>
      <c r="E28" s="303"/>
      <c r="F28" s="10"/>
      <c r="G28" s="6"/>
    </row>
    <row r="29" spans="1:7" s="4" customFormat="1" ht="15" customHeight="1" thickBot="1" x14ac:dyDescent="0.25">
      <c r="A29" s="298" t="s">
        <v>35</v>
      </c>
      <c r="B29" s="299"/>
      <c r="C29" s="299"/>
      <c r="D29" s="300"/>
      <c r="E29" s="46" t="s">
        <v>36</v>
      </c>
      <c r="F29" s="10"/>
      <c r="G29" s="6"/>
    </row>
    <row r="30" spans="1:7" s="4" customFormat="1" ht="15" customHeight="1" x14ac:dyDescent="0.2">
      <c r="A30" s="63" t="str">
        <f>+A41</f>
        <v>1.1. Motorista Turno do Dia</v>
      </c>
      <c r="B30" s="62"/>
      <c r="C30" s="62"/>
      <c r="D30" s="73"/>
      <c r="E30" s="66">
        <f>C50</f>
        <v>1</v>
      </c>
      <c r="F30" s="10"/>
      <c r="G30" s="6"/>
    </row>
    <row r="31" spans="1:7" s="4" customFormat="1" ht="15" customHeight="1" thickBot="1" x14ac:dyDescent="0.25">
      <c r="A31" s="67" t="s">
        <v>55</v>
      </c>
      <c r="B31" s="68"/>
      <c r="C31" s="68"/>
      <c r="D31" s="74"/>
      <c r="E31" s="75">
        <f>SUM(E30:E30)</f>
        <v>1</v>
      </c>
      <c r="F31" s="10"/>
      <c r="G31" s="6"/>
    </row>
    <row r="32" spans="1:7" s="4" customFormat="1" ht="15" customHeight="1" thickBot="1" x14ac:dyDescent="0.25">
      <c r="A32" s="112"/>
      <c r="B32" s="113"/>
      <c r="C32" s="55"/>
      <c r="D32" s="55"/>
      <c r="E32" s="114"/>
      <c r="F32" s="10"/>
      <c r="G32" s="6"/>
    </row>
    <row r="33" spans="1:7" s="4" customFormat="1" ht="15" customHeight="1" x14ac:dyDescent="0.2">
      <c r="A33" s="288" t="s">
        <v>52</v>
      </c>
      <c r="B33" s="289"/>
      <c r="C33" s="289"/>
      <c r="D33" s="289"/>
      <c r="E33" s="46" t="s">
        <v>36</v>
      </c>
      <c r="F33" s="9"/>
      <c r="G33" s="6"/>
    </row>
    <row r="34" spans="1:7" s="4" customFormat="1" ht="15" customHeight="1" thickBot="1" x14ac:dyDescent="0.25">
      <c r="A34" s="115" t="str">
        <f>+A93</f>
        <v>3.1.  Veículo Coletor Caminhão Caçamba 12 m³</v>
      </c>
      <c r="B34" s="116"/>
      <c r="C34" s="116"/>
      <c r="D34" s="117"/>
      <c r="E34" s="118">
        <f>C107</f>
        <v>1</v>
      </c>
      <c r="F34" s="9"/>
      <c r="G34" s="6"/>
    </row>
    <row r="35" spans="1:7" s="4" customFormat="1" ht="15" customHeight="1" x14ac:dyDescent="0.2">
      <c r="A35" s="55"/>
      <c r="B35" s="55"/>
      <c r="C35" s="55"/>
      <c r="D35" s="9"/>
      <c r="E35" s="197"/>
      <c r="F35" s="9"/>
      <c r="G35" s="6"/>
    </row>
    <row r="36" spans="1:7" s="4" customFormat="1" ht="13.5" thickBot="1" x14ac:dyDescent="0.25">
      <c r="A36" s="55"/>
      <c r="B36" s="55"/>
      <c r="C36" s="55"/>
      <c r="D36" s="9"/>
      <c r="E36" s="64"/>
      <c r="F36" s="9"/>
      <c r="G36" s="6"/>
    </row>
    <row r="37" spans="1:7" s="11" customFormat="1" ht="15.75" customHeight="1" thickBot="1" x14ac:dyDescent="0.25">
      <c r="A37" s="202" t="s">
        <v>189</v>
      </c>
      <c r="B37" s="283">
        <f>(5*1.75)/44</f>
        <v>0.19886363636363635</v>
      </c>
      <c r="C37" s="34"/>
      <c r="E37" s="131"/>
      <c r="G37" s="42"/>
    </row>
    <row r="38" spans="1:7" s="4" customFormat="1" ht="15.75" customHeight="1" x14ac:dyDescent="0.2">
      <c r="A38" s="55"/>
      <c r="B38" s="55"/>
      <c r="C38" s="55"/>
      <c r="D38" s="9"/>
      <c r="E38" s="64"/>
      <c r="F38" s="9"/>
      <c r="G38" s="6"/>
    </row>
    <row r="39" spans="1:7" ht="13.15" customHeight="1" x14ac:dyDescent="0.2">
      <c r="A39" s="11" t="s">
        <v>43</v>
      </c>
    </row>
    <row r="40" spans="1:7" ht="11.25" customHeight="1" x14ac:dyDescent="0.2"/>
    <row r="41" spans="1:7" ht="13.5" thickBot="1" x14ac:dyDescent="0.25">
      <c r="A41" s="7" t="s">
        <v>291</v>
      </c>
    </row>
    <row r="42" spans="1:7" s="12" customFormat="1" ht="13.15" customHeight="1" thickBot="1" x14ac:dyDescent="0.25">
      <c r="A42" s="56" t="s">
        <v>60</v>
      </c>
      <c r="B42" s="57" t="s">
        <v>61</v>
      </c>
      <c r="C42" s="57" t="s">
        <v>36</v>
      </c>
      <c r="D42" s="58" t="s">
        <v>224</v>
      </c>
      <c r="E42" s="58" t="s">
        <v>62</v>
      </c>
      <c r="F42" s="59" t="s">
        <v>63</v>
      </c>
      <c r="G42" s="10"/>
    </row>
    <row r="43" spans="1:7" x14ac:dyDescent="0.2">
      <c r="A43" s="227" t="s">
        <v>270</v>
      </c>
      <c r="B43" s="14" t="s">
        <v>6</v>
      </c>
      <c r="C43" s="14">
        <v>1</v>
      </c>
      <c r="D43" s="80">
        <v>0</v>
      </c>
      <c r="E43" s="15">
        <f>C43*D43</f>
        <v>0</v>
      </c>
    </row>
    <row r="44" spans="1:7" x14ac:dyDescent="0.2">
      <c r="A44" s="227" t="s">
        <v>271</v>
      </c>
      <c r="B44" s="14" t="s">
        <v>6</v>
      </c>
      <c r="C44" s="14">
        <v>1</v>
      </c>
      <c r="D44" s="80">
        <v>0</v>
      </c>
      <c r="E44" s="15"/>
    </row>
    <row r="45" spans="1:7" x14ac:dyDescent="0.2">
      <c r="A45" s="16" t="s">
        <v>205</v>
      </c>
      <c r="B45" s="17"/>
      <c r="C45" s="65">
        <v>1</v>
      </c>
      <c r="D45" s="18"/>
      <c r="E45" s="18"/>
    </row>
    <row r="46" spans="1:7" x14ac:dyDescent="0.2">
      <c r="A46" s="16" t="s">
        <v>0</v>
      </c>
      <c r="B46" s="17" t="s">
        <v>1</v>
      </c>
      <c r="C46" s="17">
        <v>40</v>
      </c>
      <c r="D46" s="76" t="e">
        <f>IF(C45=2,SUM(E43:E44),IF(C45=1,(SUM(E43:E44))*D44/D43,0))</f>
        <v>#DIV/0!</v>
      </c>
      <c r="E46" s="18" t="e">
        <f>C46*D46/100</f>
        <v>#DIV/0!</v>
      </c>
    </row>
    <row r="47" spans="1:7" s="11" customFormat="1" x14ac:dyDescent="0.2">
      <c r="A47" s="88" t="s">
        <v>2</v>
      </c>
      <c r="B47" s="102"/>
      <c r="C47" s="102"/>
      <c r="D47" s="103"/>
      <c r="E47" s="90" t="e">
        <f>SUM(E43:E46)</f>
        <v>#DIV/0!</v>
      </c>
      <c r="F47" s="42"/>
      <c r="G47" s="42"/>
    </row>
    <row r="48" spans="1:7" x14ac:dyDescent="0.2">
      <c r="A48" s="16" t="s">
        <v>3</v>
      </c>
      <c r="B48" s="17" t="s">
        <v>1</v>
      </c>
      <c r="C48" s="121">
        <f>'2. Encargos Sociais'!C32*100</f>
        <v>71.510000000000005</v>
      </c>
      <c r="D48" s="18" t="e">
        <f>E47</f>
        <v>#DIV/0!</v>
      </c>
      <c r="E48" s="18" t="e">
        <f>D48*C48/100</f>
        <v>#DIV/0!</v>
      </c>
    </row>
    <row r="49" spans="1:7" s="11" customFormat="1" x14ac:dyDescent="0.2">
      <c r="A49" s="88" t="s">
        <v>237</v>
      </c>
      <c r="B49" s="208"/>
      <c r="C49" s="208"/>
      <c r="D49" s="209"/>
      <c r="E49" s="90" t="e">
        <f>E47+E48</f>
        <v>#DIV/0!</v>
      </c>
      <c r="F49" s="42"/>
      <c r="G49" s="42"/>
    </row>
    <row r="50" spans="1:7" ht="13.5" thickBot="1" x14ac:dyDescent="0.25">
      <c r="A50" s="16" t="s">
        <v>4</v>
      </c>
      <c r="B50" s="17" t="s">
        <v>5</v>
      </c>
      <c r="C50" s="17">
        <v>1</v>
      </c>
      <c r="D50" s="18" t="e">
        <f>E49</f>
        <v>#DIV/0!</v>
      </c>
      <c r="E50" s="18" t="e">
        <f>C50*D50</f>
        <v>#DIV/0!</v>
      </c>
    </row>
    <row r="51" spans="1:7" ht="13.5" thickBot="1" x14ac:dyDescent="0.25">
      <c r="D51" s="106" t="s">
        <v>188</v>
      </c>
      <c r="E51" s="48">
        <f>$B$37</f>
        <v>0.19886363636363635</v>
      </c>
      <c r="F51" s="107" t="e">
        <f>E50*E51</f>
        <v>#DIV/0!</v>
      </c>
    </row>
    <row r="52" spans="1:7" ht="11.25" customHeight="1" x14ac:dyDescent="0.2"/>
    <row r="53" spans="1:7" ht="11.25" customHeight="1" x14ac:dyDescent="0.2">
      <c r="G53" s="9"/>
    </row>
    <row r="54" spans="1:7" ht="13.5" thickBot="1" x14ac:dyDescent="0.25">
      <c r="A54" s="7" t="s">
        <v>292</v>
      </c>
      <c r="B54" s="83"/>
      <c r="D54" s="9"/>
      <c r="E54" s="9"/>
      <c r="G54" s="9"/>
    </row>
    <row r="55" spans="1:7" ht="13.5" thickBot="1" x14ac:dyDescent="0.25">
      <c r="A55" s="56" t="s">
        <v>60</v>
      </c>
      <c r="B55" s="57" t="s">
        <v>61</v>
      </c>
      <c r="C55" s="57" t="s">
        <v>36</v>
      </c>
      <c r="D55" s="58" t="s">
        <v>224</v>
      </c>
      <c r="E55" s="58" t="s">
        <v>62</v>
      </c>
      <c r="F55" s="59" t="s">
        <v>63</v>
      </c>
      <c r="G55" s="9"/>
    </row>
    <row r="56" spans="1:7" x14ac:dyDescent="0.2">
      <c r="A56" s="16" t="s">
        <v>88</v>
      </c>
      <c r="B56" s="17" t="s">
        <v>31</v>
      </c>
      <c r="C56" s="84">
        <v>1</v>
      </c>
      <c r="D56" s="82">
        <v>0</v>
      </c>
      <c r="E56" s="18"/>
      <c r="G56" s="9"/>
    </row>
    <row r="57" spans="1:7" x14ac:dyDescent="0.2">
      <c r="A57" s="16" t="s">
        <v>89</v>
      </c>
      <c r="B57" s="17" t="s">
        <v>90</v>
      </c>
      <c r="C57" s="9">
        <v>22</v>
      </c>
      <c r="D57" s="18"/>
      <c r="E57" s="18"/>
      <c r="G57" s="9"/>
    </row>
    <row r="58" spans="1:7" ht="13.5" thickBot="1" x14ac:dyDescent="0.25">
      <c r="A58" s="13" t="s">
        <v>40</v>
      </c>
      <c r="B58" s="14" t="s">
        <v>7</v>
      </c>
      <c r="C58" s="36">
        <f>$C$57*2*(C50)</f>
        <v>44</v>
      </c>
      <c r="D58" s="15">
        <f>IFERROR((($C$57*2*$D$56)-(E43*0.06*C57/26))/($C$57*2),"-")</f>
        <v>0</v>
      </c>
      <c r="E58" s="15">
        <f>IFERROR(C58*D58,"-")</f>
        <v>0</v>
      </c>
      <c r="G58" s="9"/>
    </row>
    <row r="59" spans="1:7" ht="13.5" thickBot="1" x14ac:dyDescent="0.25">
      <c r="F59" s="22">
        <f>SUM(E58:E58)</f>
        <v>0</v>
      </c>
      <c r="G59" s="9"/>
    </row>
    <row r="60" spans="1:7" ht="11.25" customHeight="1" x14ac:dyDescent="0.2">
      <c r="G60" s="9"/>
    </row>
    <row r="61" spans="1:7" ht="13.5" thickBot="1" x14ac:dyDescent="0.25">
      <c r="A61" s="7" t="s">
        <v>283</v>
      </c>
      <c r="F61" s="23"/>
      <c r="G61" s="9"/>
    </row>
    <row r="62" spans="1:7" ht="13.5" thickBot="1" x14ac:dyDescent="0.25">
      <c r="A62" s="56" t="s">
        <v>60</v>
      </c>
      <c r="B62" s="57" t="s">
        <v>61</v>
      </c>
      <c r="C62" s="57" t="s">
        <v>36</v>
      </c>
      <c r="D62" s="58" t="s">
        <v>224</v>
      </c>
      <c r="E62" s="58" t="s">
        <v>62</v>
      </c>
      <c r="F62" s="59" t="s">
        <v>63</v>
      </c>
      <c r="G62" s="9"/>
    </row>
    <row r="63" spans="1:7" ht="13.5" thickBot="1" x14ac:dyDescent="0.25">
      <c r="A63" s="16" t="str">
        <f>+A58</f>
        <v>Motorista</v>
      </c>
      <c r="B63" s="17" t="s">
        <v>8</v>
      </c>
      <c r="C63" s="87">
        <f>C57*(E30)</f>
        <v>22</v>
      </c>
      <c r="D63" s="81">
        <v>0</v>
      </c>
      <c r="E63" s="48">
        <f>C63*D63</f>
        <v>0</v>
      </c>
      <c r="F63" s="23"/>
      <c r="G63" s="9"/>
    </row>
    <row r="64" spans="1:7" ht="13.5" thickBot="1" x14ac:dyDescent="0.25">
      <c r="F64" s="22">
        <f>SUM(E63:E63)</f>
        <v>0</v>
      </c>
      <c r="G64" s="9"/>
    </row>
    <row r="65" spans="1:7" x14ac:dyDescent="0.2">
      <c r="G65" s="9"/>
    </row>
    <row r="66" spans="1:7" ht="13.5" thickBot="1" x14ac:dyDescent="0.25">
      <c r="A66" s="7" t="s">
        <v>284</v>
      </c>
      <c r="F66" s="23"/>
      <c r="G66" s="9"/>
    </row>
    <row r="67" spans="1:7" ht="13.5" thickBot="1" x14ac:dyDescent="0.25">
      <c r="A67" s="56" t="s">
        <v>60</v>
      </c>
      <c r="B67" s="57" t="s">
        <v>61</v>
      </c>
      <c r="C67" s="57" t="s">
        <v>36</v>
      </c>
      <c r="D67" s="58" t="s">
        <v>224</v>
      </c>
      <c r="E67" s="58" t="s">
        <v>62</v>
      </c>
      <c r="F67" s="59" t="s">
        <v>63</v>
      </c>
      <c r="G67" s="9"/>
    </row>
    <row r="68" spans="1:7" ht="13.5" thickBot="1" x14ac:dyDescent="0.25">
      <c r="A68" s="16" t="str">
        <f>+A63</f>
        <v>Motorista</v>
      </c>
      <c r="B68" s="17" t="s">
        <v>8</v>
      </c>
      <c r="C68" s="87">
        <f>E30</f>
        <v>1</v>
      </c>
      <c r="D68" s="81">
        <v>0</v>
      </c>
      <c r="E68" s="48">
        <f>C68*D68</f>
        <v>0</v>
      </c>
      <c r="F68" s="23"/>
      <c r="G68" s="9"/>
    </row>
    <row r="69" spans="1:7" ht="13.5" thickBot="1" x14ac:dyDescent="0.25">
      <c r="D69" s="106" t="s">
        <v>188</v>
      </c>
      <c r="E69" s="48">
        <f>$B$37</f>
        <v>0.19886363636363635</v>
      </c>
      <c r="F69" s="22">
        <f>SUM(E68:E68)*E69</f>
        <v>0</v>
      </c>
      <c r="G69" s="9"/>
    </row>
    <row r="70" spans="1:7" ht="13.5" thickBot="1" x14ac:dyDescent="0.25">
      <c r="G70" s="9"/>
    </row>
    <row r="71" spans="1:7" ht="13.5" thickBot="1" x14ac:dyDescent="0.25">
      <c r="A71" s="24" t="s">
        <v>91</v>
      </c>
      <c r="B71" s="25"/>
      <c r="C71" s="25"/>
      <c r="D71" s="26"/>
      <c r="E71" s="27"/>
      <c r="F71" s="22" t="e">
        <f>F69+F64+F59+F51</f>
        <v>#DIV/0!</v>
      </c>
      <c r="G71" s="9"/>
    </row>
    <row r="73" spans="1:7" x14ac:dyDescent="0.2">
      <c r="A73" s="11" t="s">
        <v>41</v>
      </c>
      <c r="G73" s="9"/>
    </row>
    <row r="74" spans="1:7" ht="11.25" customHeight="1" x14ac:dyDescent="0.2">
      <c r="G74" s="9"/>
    </row>
    <row r="75" spans="1:7" ht="11.25" customHeight="1" x14ac:dyDescent="0.2"/>
    <row r="76" spans="1:7" ht="13.9" customHeight="1" x14ac:dyDescent="0.2">
      <c r="A76" s="7" t="s">
        <v>293</v>
      </c>
    </row>
    <row r="77" spans="1:7" ht="11.25" customHeight="1" thickBot="1" x14ac:dyDescent="0.25"/>
    <row r="78" spans="1:7" ht="24.75" thickBot="1" x14ac:dyDescent="0.25">
      <c r="A78" s="56" t="s">
        <v>60</v>
      </c>
      <c r="B78" s="57" t="s">
        <v>61</v>
      </c>
      <c r="C78" s="210" t="s">
        <v>238</v>
      </c>
      <c r="D78" s="58" t="s">
        <v>224</v>
      </c>
      <c r="E78" s="58" t="s">
        <v>62</v>
      </c>
      <c r="F78" s="59" t="s">
        <v>63</v>
      </c>
    </row>
    <row r="79" spans="1:7" x14ac:dyDescent="0.2">
      <c r="A79" s="13" t="s">
        <v>64</v>
      </c>
      <c r="B79" s="14" t="s">
        <v>8</v>
      </c>
      <c r="C79" s="253">
        <v>12</v>
      </c>
      <c r="D79" s="80">
        <v>0</v>
      </c>
      <c r="E79" s="15">
        <f>IFERROR(D79/C79,0)</f>
        <v>0</v>
      </c>
    </row>
    <row r="80" spans="1:7" x14ac:dyDescent="0.2">
      <c r="A80" s="16" t="s">
        <v>27</v>
      </c>
      <c r="B80" s="17" t="s">
        <v>8</v>
      </c>
      <c r="C80" s="253">
        <v>12</v>
      </c>
      <c r="D80" s="80">
        <v>0</v>
      </c>
      <c r="E80" s="15">
        <f t="shared" ref="E80:E84" si="2">IFERROR(D80/C80,0)</f>
        <v>0</v>
      </c>
    </row>
    <row r="81" spans="1:7" x14ac:dyDescent="0.2">
      <c r="A81" s="16" t="s">
        <v>28</v>
      </c>
      <c r="B81" s="17" t="s">
        <v>8</v>
      </c>
      <c r="C81" s="253">
        <v>12</v>
      </c>
      <c r="D81" s="80">
        <v>0</v>
      </c>
      <c r="E81" s="15">
        <f t="shared" si="2"/>
        <v>0</v>
      </c>
    </row>
    <row r="82" spans="1:7" x14ac:dyDescent="0.2">
      <c r="A82" s="16" t="s">
        <v>66</v>
      </c>
      <c r="B82" s="17" t="s">
        <v>44</v>
      </c>
      <c r="C82" s="253">
        <v>12</v>
      </c>
      <c r="D82" s="80">
        <v>0</v>
      </c>
      <c r="E82" s="15">
        <f t="shared" si="2"/>
        <v>0</v>
      </c>
    </row>
    <row r="83" spans="1:7" x14ac:dyDescent="0.2">
      <c r="A83" s="16" t="s">
        <v>65</v>
      </c>
      <c r="B83" s="17" t="s">
        <v>8</v>
      </c>
      <c r="C83" s="253">
        <v>12</v>
      </c>
      <c r="D83" s="80">
        <v>0</v>
      </c>
      <c r="E83" s="15">
        <f t="shared" si="2"/>
        <v>0</v>
      </c>
      <c r="G83" s="9"/>
    </row>
    <row r="84" spans="1:7" x14ac:dyDescent="0.2">
      <c r="A84" s="16" t="s">
        <v>59</v>
      </c>
      <c r="B84" s="17" t="s">
        <v>45</v>
      </c>
      <c r="C84" s="253">
        <v>12</v>
      </c>
      <c r="D84" s="80">
        <v>0</v>
      </c>
      <c r="E84" s="15">
        <f t="shared" si="2"/>
        <v>0</v>
      </c>
      <c r="G84" s="9"/>
    </row>
    <row r="85" spans="1:7" x14ac:dyDescent="0.2">
      <c r="A85" s="16" t="s">
        <v>191</v>
      </c>
      <c r="B85" s="17" t="s">
        <v>117</v>
      </c>
      <c r="C85" s="65">
        <v>1</v>
      </c>
      <c r="D85" s="80">
        <v>0</v>
      </c>
      <c r="E85" s="18">
        <f t="shared" ref="E85:E86" si="3">C85*D85</f>
        <v>0</v>
      </c>
      <c r="G85" s="9"/>
    </row>
    <row r="86" spans="1:7" ht="13.5" thickBot="1" x14ac:dyDescent="0.25">
      <c r="A86" s="16" t="s">
        <v>4</v>
      </c>
      <c r="B86" s="17" t="s">
        <v>5</v>
      </c>
      <c r="C86" s="65">
        <f>C50</f>
        <v>1</v>
      </c>
      <c r="D86" s="80">
        <v>0</v>
      </c>
      <c r="E86" s="18">
        <f t="shared" si="3"/>
        <v>0</v>
      </c>
      <c r="G86" s="9"/>
    </row>
    <row r="87" spans="1:7" ht="13.5" thickBot="1" x14ac:dyDescent="0.25">
      <c r="D87" s="106" t="s">
        <v>188</v>
      </c>
      <c r="E87" s="48">
        <f>$B$37</f>
        <v>0.19886363636363635</v>
      </c>
      <c r="F87" s="107">
        <f>E86*E87</f>
        <v>0</v>
      </c>
      <c r="G87" s="9"/>
    </row>
    <row r="88" spans="1:7" ht="11.25" customHeight="1" thickBot="1" x14ac:dyDescent="0.25">
      <c r="G88" s="9"/>
    </row>
    <row r="89" spans="1:7" ht="13.5" thickBot="1" x14ac:dyDescent="0.25">
      <c r="A89" s="24" t="s">
        <v>193</v>
      </c>
      <c r="B89" s="28"/>
      <c r="C89" s="28"/>
      <c r="D89" s="29"/>
      <c r="E89" s="30"/>
      <c r="F89" s="21">
        <f>F87</f>
        <v>0</v>
      </c>
      <c r="G89" s="9"/>
    </row>
    <row r="90" spans="1:7" ht="11.25" customHeight="1" x14ac:dyDescent="0.2">
      <c r="G90" s="9"/>
    </row>
    <row r="91" spans="1:7" x14ac:dyDescent="0.2">
      <c r="A91" s="11" t="s">
        <v>50</v>
      </c>
      <c r="G91" s="9"/>
    </row>
    <row r="92" spans="1:7" ht="11.25" customHeight="1" x14ac:dyDescent="0.2">
      <c r="B92" s="92"/>
      <c r="G92" s="9"/>
    </row>
    <row r="93" spans="1:7" x14ac:dyDescent="0.2">
      <c r="A93" s="7" t="s">
        <v>311</v>
      </c>
      <c r="G93" s="9"/>
    </row>
    <row r="94" spans="1:7" ht="13.5" thickBot="1" x14ac:dyDescent="0.25">
      <c r="A94" s="92" t="s">
        <v>42</v>
      </c>
      <c r="G94" s="9"/>
    </row>
    <row r="95" spans="1:7" ht="13.5" thickBot="1" x14ac:dyDescent="0.25">
      <c r="A95" s="56" t="s">
        <v>60</v>
      </c>
      <c r="B95" s="57" t="s">
        <v>61</v>
      </c>
      <c r="C95" s="57" t="s">
        <v>36</v>
      </c>
      <c r="D95" s="58" t="s">
        <v>224</v>
      </c>
      <c r="E95" s="58" t="s">
        <v>62</v>
      </c>
      <c r="F95" s="59" t="s">
        <v>63</v>
      </c>
      <c r="G95" s="9"/>
    </row>
    <row r="96" spans="1:7" x14ac:dyDescent="0.2">
      <c r="A96" s="13" t="s">
        <v>101</v>
      </c>
      <c r="B96" s="14" t="s">
        <v>8</v>
      </c>
      <c r="C96" s="14">
        <v>1</v>
      </c>
      <c r="D96" s="80">
        <v>0</v>
      </c>
      <c r="E96" s="15">
        <f>C96*D96</f>
        <v>0</v>
      </c>
      <c r="G96" s="9"/>
    </row>
    <row r="97" spans="1:10" x14ac:dyDescent="0.2">
      <c r="A97" s="16" t="s">
        <v>96</v>
      </c>
      <c r="B97" s="17" t="s">
        <v>97</v>
      </c>
      <c r="C97" s="17">
        <v>15</v>
      </c>
      <c r="D97" s="76"/>
      <c r="E97" s="18"/>
      <c r="G97" s="9"/>
    </row>
    <row r="98" spans="1:10" x14ac:dyDescent="0.2">
      <c r="A98" s="16" t="s">
        <v>199</v>
      </c>
      <c r="B98" s="17" t="s">
        <v>97</v>
      </c>
      <c r="C98" s="79">
        <v>0</v>
      </c>
      <c r="D98" s="18"/>
      <c r="E98" s="18"/>
      <c r="F98" s="20"/>
      <c r="I98" s="78"/>
      <c r="J98" s="78"/>
    </row>
    <row r="99" spans="1:10" x14ac:dyDescent="0.2">
      <c r="A99" s="16" t="s">
        <v>100</v>
      </c>
      <c r="B99" s="17" t="s">
        <v>1</v>
      </c>
      <c r="C99" s="121">
        <f>IFERROR(VLOOKUP(C97,'5. Depreciação'!A3:B17,2,FALSE),0)</f>
        <v>70.73</v>
      </c>
      <c r="D99" s="18">
        <f>E96</f>
        <v>0</v>
      </c>
      <c r="E99" s="18">
        <f>C99*D99/100</f>
        <v>0</v>
      </c>
    </row>
    <row r="100" spans="1:10" ht="13.5" thickBot="1" x14ac:dyDescent="0.25">
      <c r="A100" s="216" t="s">
        <v>46</v>
      </c>
      <c r="B100" s="217" t="s">
        <v>6</v>
      </c>
      <c r="C100" s="217">
        <f>C97*12</f>
        <v>180</v>
      </c>
      <c r="D100" s="218">
        <f>IF(C98&lt;=C97,E99,0)</f>
        <v>0</v>
      </c>
      <c r="E100" s="218">
        <f>IFERROR(D100/C100,0)</f>
        <v>0</v>
      </c>
    </row>
    <row r="101" spans="1:10" ht="13.5" thickTop="1" x14ac:dyDescent="0.2">
      <c r="A101" s="227" t="s">
        <v>312</v>
      </c>
      <c r="B101" s="14" t="s">
        <v>8</v>
      </c>
      <c r="C101" s="14">
        <f>C96</f>
        <v>1</v>
      </c>
      <c r="D101" s="80">
        <v>0</v>
      </c>
      <c r="E101" s="15">
        <f>C101*D101</f>
        <v>0</v>
      </c>
      <c r="G101" s="9"/>
    </row>
    <row r="102" spans="1:10" x14ac:dyDescent="0.2">
      <c r="A102" s="247" t="s">
        <v>313</v>
      </c>
      <c r="B102" s="17" t="s">
        <v>97</v>
      </c>
      <c r="C102" s="17">
        <v>15</v>
      </c>
      <c r="D102" s="18"/>
      <c r="E102" s="18"/>
    </row>
    <row r="103" spans="1:10" x14ac:dyDescent="0.2">
      <c r="A103" s="247" t="s">
        <v>314</v>
      </c>
      <c r="B103" s="17" t="s">
        <v>97</v>
      </c>
      <c r="C103" s="79">
        <v>0</v>
      </c>
      <c r="D103" s="18"/>
      <c r="E103" s="18"/>
      <c r="F103" s="20"/>
      <c r="I103" s="78"/>
      <c r="J103" s="78"/>
    </row>
    <row r="104" spans="1:10" x14ac:dyDescent="0.2">
      <c r="A104" s="247" t="s">
        <v>315</v>
      </c>
      <c r="B104" s="17" t="s">
        <v>1</v>
      </c>
      <c r="C104" s="122">
        <f>IFERROR(VLOOKUP(C102,'5. Depreciação'!A3:B17,2,FALSE),0)</f>
        <v>70.73</v>
      </c>
      <c r="D104" s="18">
        <f>E101</f>
        <v>0</v>
      </c>
      <c r="E104" s="18">
        <f>C104*D104/100</f>
        <v>0</v>
      </c>
    </row>
    <row r="105" spans="1:10" x14ac:dyDescent="0.2">
      <c r="A105" s="88" t="s">
        <v>316</v>
      </c>
      <c r="B105" s="89" t="s">
        <v>6</v>
      </c>
      <c r="C105" s="89">
        <f>C102*12</f>
        <v>180</v>
      </c>
      <c r="D105" s="90">
        <f>IF(C103&lt;=C102,E104,0)</f>
        <v>0</v>
      </c>
      <c r="E105" s="90">
        <f>IFERROR(D105/C105,0)</f>
        <v>0</v>
      </c>
    </row>
    <row r="106" spans="1:10" x14ac:dyDescent="0.2">
      <c r="A106" s="101" t="s">
        <v>241</v>
      </c>
      <c r="B106" s="102"/>
      <c r="C106" s="102"/>
      <c r="D106" s="103"/>
      <c r="E106" s="104">
        <f>E100+E105</f>
        <v>0</v>
      </c>
    </row>
    <row r="107" spans="1:10" ht="13.5" thickBot="1" x14ac:dyDescent="0.25">
      <c r="A107" s="88" t="s">
        <v>242</v>
      </c>
      <c r="B107" s="89" t="s">
        <v>8</v>
      </c>
      <c r="C107" s="17">
        <v>1</v>
      </c>
      <c r="D107" s="90">
        <f>E106</f>
        <v>0</v>
      </c>
      <c r="E107" s="104">
        <f>C107*D107</f>
        <v>0</v>
      </c>
    </row>
    <row r="108" spans="1:10" ht="13.5" thickBot="1" x14ac:dyDescent="0.25">
      <c r="A108" s="214"/>
      <c r="B108" s="214"/>
      <c r="C108" s="214"/>
      <c r="D108" s="106" t="s">
        <v>188</v>
      </c>
      <c r="E108" s="48">
        <f>$B$37</f>
        <v>0.19886363636363635</v>
      </c>
      <c r="F108" s="21">
        <f>E107*E108</f>
        <v>0</v>
      </c>
    </row>
    <row r="109" spans="1:10" ht="11.25" customHeight="1" x14ac:dyDescent="0.2"/>
    <row r="110" spans="1:10" ht="13.5" thickBot="1" x14ac:dyDescent="0.25">
      <c r="A110" s="92" t="s">
        <v>107</v>
      </c>
    </row>
    <row r="111" spans="1:10" ht="13.5" thickBot="1" x14ac:dyDescent="0.25">
      <c r="A111" s="94" t="s">
        <v>60</v>
      </c>
      <c r="B111" s="95" t="s">
        <v>61</v>
      </c>
      <c r="C111" s="95" t="s">
        <v>36</v>
      </c>
      <c r="D111" s="58" t="s">
        <v>224</v>
      </c>
      <c r="E111" s="96" t="s">
        <v>62</v>
      </c>
      <c r="F111" s="59" t="s">
        <v>63</v>
      </c>
      <c r="I111" s="78"/>
      <c r="J111" s="78"/>
    </row>
    <row r="112" spans="1:10" x14ac:dyDescent="0.2">
      <c r="A112" s="16" t="s">
        <v>105</v>
      </c>
      <c r="B112" s="17" t="s">
        <v>8</v>
      </c>
      <c r="C112" s="14">
        <v>1</v>
      </c>
      <c r="D112" s="18">
        <f>D96</f>
        <v>0</v>
      </c>
      <c r="E112" s="18">
        <f>C112*D112</f>
        <v>0</v>
      </c>
      <c r="F112" s="20"/>
      <c r="I112" s="78"/>
      <c r="J112" s="78"/>
    </row>
    <row r="113" spans="1:10" x14ac:dyDescent="0.2">
      <c r="A113" s="16" t="s">
        <v>203</v>
      </c>
      <c r="B113" s="17" t="s">
        <v>1</v>
      </c>
      <c r="C113" s="17">
        <v>11.25</v>
      </c>
      <c r="D113" s="18"/>
      <c r="E113" s="18"/>
      <c r="F113" s="20"/>
      <c r="I113" s="78"/>
      <c r="J113" s="78"/>
    </row>
    <row r="114" spans="1:10" x14ac:dyDescent="0.2">
      <c r="A114" s="16" t="s">
        <v>201</v>
      </c>
      <c r="B114" s="17" t="s">
        <v>31</v>
      </c>
      <c r="C114" s="126">
        <f>IFERROR(IF(C98&lt;=C97,E96-(C99/(100*C97)*C98)*E96,E96-E99),0)</f>
        <v>0</v>
      </c>
      <c r="D114" s="18"/>
      <c r="E114" s="18"/>
      <c r="F114" s="20"/>
      <c r="I114" s="78"/>
      <c r="J114" s="78"/>
    </row>
    <row r="115" spans="1:10" x14ac:dyDescent="0.2">
      <c r="A115" s="16" t="s">
        <v>110</v>
      </c>
      <c r="B115" s="17" t="s">
        <v>31</v>
      </c>
      <c r="C115" s="76">
        <f>IFERROR(IF(C98&gt;=C97,C114,((((C114)-(E96-E99))*(((C97-C98)+1)/(2*(C97-C98))))+(E96-E99))),0)</f>
        <v>0</v>
      </c>
      <c r="D115" s="18"/>
      <c r="E115" s="18"/>
      <c r="F115" s="20"/>
      <c r="I115" s="78"/>
      <c r="J115" s="78"/>
    </row>
    <row r="116" spans="1:10" ht="13.5" thickBot="1" x14ac:dyDescent="0.25">
      <c r="A116" s="216" t="s">
        <v>111</v>
      </c>
      <c r="B116" s="217" t="s">
        <v>31</v>
      </c>
      <c r="C116" s="217"/>
      <c r="D116" s="219">
        <f>C113*C115/12/100</f>
        <v>0</v>
      </c>
      <c r="E116" s="218">
        <f>D116</f>
        <v>0</v>
      </c>
      <c r="F116" s="20"/>
      <c r="I116" s="78"/>
      <c r="J116" s="78"/>
    </row>
    <row r="117" spans="1:10" ht="13.5" thickTop="1" x14ac:dyDescent="0.2">
      <c r="A117" s="13" t="s">
        <v>106</v>
      </c>
      <c r="B117" s="14" t="s">
        <v>8</v>
      </c>
      <c r="C117" s="14">
        <f>C101</f>
        <v>1</v>
      </c>
      <c r="D117" s="15">
        <f>D101</f>
        <v>0</v>
      </c>
      <c r="E117" s="15">
        <f>C117*D117</f>
        <v>0</v>
      </c>
      <c r="F117" s="20"/>
      <c r="I117" s="78"/>
      <c r="J117" s="78"/>
    </row>
    <row r="118" spans="1:10" x14ac:dyDescent="0.2">
      <c r="A118" s="16" t="s">
        <v>203</v>
      </c>
      <c r="B118" s="17" t="s">
        <v>1</v>
      </c>
      <c r="C118" s="17">
        <v>1</v>
      </c>
      <c r="D118" s="18"/>
      <c r="E118" s="18"/>
      <c r="F118" s="20"/>
      <c r="I118" s="78"/>
      <c r="J118" s="78"/>
    </row>
    <row r="119" spans="1:10" x14ac:dyDescent="0.2">
      <c r="A119" s="16" t="s">
        <v>202</v>
      </c>
      <c r="B119" s="17" t="s">
        <v>31</v>
      </c>
      <c r="C119" s="126">
        <f>IFERROR(IF(C103&lt;=C102,E101-(C104/(100*C102)*C103)*E101,E101-E104),0)</f>
        <v>0</v>
      </c>
      <c r="D119" s="18"/>
      <c r="E119" s="18"/>
      <c r="F119" s="20"/>
      <c r="I119" s="78"/>
      <c r="J119" s="78"/>
    </row>
    <row r="120" spans="1:10" x14ac:dyDescent="0.2">
      <c r="A120" s="16" t="s">
        <v>112</v>
      </c>
      <c r="B120" s="17" t="s">
        <v>31</v>
      </c>
      <c r="C120" s="76">
        <f>IFERROR(IF(C103&gt;=C102,C119,((((C119)-(E101-E104))*(((C102-C103)+1)/(2*(C102-C103))))+(E101-E104))),0)</f>
        <v>0</v>
      </c>
      <c r="D120" s="18"/>
      <c r="E120" s="18"/>
      <c r="F120" s="20"/>
      <c r="I120" s="78"/>
      <c r="J120" s="78"/>
    </row>
    <row r="121" spans="1:10" x14ac:dyDescent="0.2">
      <c r="A121" s="88" t="s">
        <v>109</v>
      </c>
      <c r="B121" s="89" t="s">
        <v>31</v>
      </c>
      <c r="C121" s="89"/>
      <c r="D121" s="98">
        <f>C118*C120/12/100</f>
        <v>0</v>
      </c>
      <c r="E121" s="90">
        <f>D121</f>
        <v>0</v>
      </c>
      <c r="F121" s="20"/>
      <c r="I121" s="78"/>
      <c r="J121" s="78"/>
    </row>
    <row r="122" spans="1:10" x14ac:dyDescent="0.2">
      <c r="A122" s="101" t="s">
        <v>241</v>
      </c>
      <c r="B122" s="102"/>
      <c r="C122" s="102"/>
      <c r="D122" s="103"/>
      <c r="E122" s="104">
        <f>E116+E121</f>
        <v>0</v>
      </c>
      <c r="F122" s="20"/>
      <c r="I122" s="78"/>
      <c r="J122" s="78"/>
    </row>
    <row r="123" spans="1:10" ht="13.5" thickBot="1" x14ac:dyDescent="0.25">
      <c r="A123" s="88" t="s">
        <v>242</v>
      </c>
      <c r="B123" s="89" t="s">
        <v>8</v>
      </c>
      <c r="C123" s="17">
        <f>C107</f>
        <v>1</v>
      </c>
      <c r="D123" s="90">
        <f>E122</f>
        <v>0</v>
      </c>
      <c r="E123" s="104">
        <f>C123*D123</f>
        <v>0</v>
      </c>
      <c r="F123" s="20"/>
      <c r="I123" s="78"/>
      <c r="J123" s="78"/>
    </row>
    <row r="124" spans="1:10" ht="13.5" thickBot="1" x14ac:dyDescent="0.25">
      <c r="C124" s="19"/>
      <c r="D124" s="106" t="s">
        <v>188</v>
      </c>
      <c r="E124" s="48">
        <f>$B$37</f>
        <v>0.19886363636363635</v>
      </c>
      <c r="F124" s="21">
        <f>E123*E124</f>
        <v>0</v>
      </c>
      <c r="I124" s="78"/>
      <c r="J124" s="78"/>
    </row>
    <row r="125" spans="1:10" ht="13.5" thickBot="1" x14ac:dyDescent="0.25">
      <c r="A125" s="9" t="s">
        <v>47</v>
      </c>
      <c r="I125" s="78"/>
      <c r="J125" s="78"/>
    </row>
    <row r="126" spans="1:10" ht="13.5" thickBot="1" x14ac:dyDescent="0.25">
      <c r="A126" s="56" t="s">
        <v>60</v>
      </c>
      <c r="B126" s="57" t="s">
        <v>61</v>
      </c>
      <c r="C126" s="57" t="s">
        <v>36</v>
      </c>
      <c r="D126" s="58" t="s">
        <v>224</v>
      </c>
      <c r="E126" s="58" t="s">
        <v>62</v>
      </c>
      <c r="F126" s="59" t="s">
        <v>63</v>
      </c>
      <c r="I126" s="78"/>
      <c r="J126" s="78"/>
    </row>
    <row r="127" spans="1:10" x14ac:dyDescent="0.2">
      <c r="A127" s="13" t="s">
        <v>10</v>
      </c>
      <c r="B127" s="14" t="s">
        <v>8</v>
      </c>
      <c r="C127" s="15">
        <f>C107</f>
        <v>1</v>
      </c>
      <c r="D127" s="15">
        <f>0.01*($E$96)</f>
        <v>0</v>
      </c>
      <c r="E127" s="15">
        <f>C127*D127</f>
        <v>0</v>
      </c>
      <c r="I127" s="78"/>
      <c r="J127" s="78"/>
    </row>
    <row r="128" spans="1:10" x14ac:dyDescent="0.2">
      <c r="A128" s="16" t="s">
        <v>187</v>
      </c>
      <c r="B128" s="17" t="s">
        <v>8</v>
      </c>
      <c r="C128" s="15">
        <f>C107</f>
        <v>1</v>
      </c>
      <c r="D128" s="81">
        <v>0</v>
      </c>
      <c r="E128" s="18">
        <f>C128*D128</f>
        <v>0</v>
      </c>
      <c r="I128" s="78"/>
      <c r="J128" s="78"/>
    </row>
    <row r="129" spans="1:10" x14ac:dyDescent="0.2">
      <c r="A129" s="16" t="s">
        <v>11</v>
      </c>
      <c r="B129" s="17" t="s">
        <v>8</v>
      </c>
      <c r="C129" s="15">
        <f>C107</f>
        <v>1</v>
      </c>
      <c r="D129" s="81">
        <v>0</v>
      </c>
      <c r="E129" s="18">
        <f>C129*D129</f>
        <v>0</v>
      </c>
      <c r="F129" s="31"/>
      <c r="I129" s="78"/>
      <c r="J129" s="78"/>
    </row>
    <row r="130" spans="1:10" ht="13.5" thickBot="1" x14ac:dyDescent="0.25">
      <c r="A130" s="88" t="s">
        <v>12</v>
      </c>
      <c r="B130" s="89" t="s">
        <v>6</v>
      </c>
      <c r="C130" s="89">
        <v>12</v>
      </c>
      <c r="D130" s="90">
        <f>SUM(E127:E129)</f>
        <v>0</v>
      </c>
      <c r="E130" s="90">
        <f>D130/C130</f>
        <v>0</v>
      </c>
      <c r="I130" s="78"/>
      <c r="J130" s="78"/>
    </row>
    <row r="131" spans="1:10" ht="13.5" thickBot="1" x14ac:dyDescent="0.25">
      <c r="D131" s="106" t="s">
        <v>188</v>
      </c>
      <c r="E131" s="48">
        <f>$B$37</f>
        <v>0.19886363636363635</v>
      </c>
      <c r="F131" s="107">
        <f>E130*E131</f>
        <v>0</v>
      </c>
      <c r="I131" s="78"/>
      <c r="J131" s="78"/>
    </row>
    <row r="132" spans="1:10" ht="11.25" customHeight="1" x14ac:dyDescent="0.2">
      <c r="I132" s="78"/>
      <c r="J132" s="78"/>
    </row>
    <row r="133" spans="1:10" x14ac:dyDescent="0.2">
      <c r="A133" s="9" t="s">
        <v>48</v>
      </c>
      <c r="B133" s="32"/>
      <c r="I133" s="78"/>
      <c r="J133" s="78"/>
    </row>
    <row r="134" spans="1:10" x14ac:dyDescent="0.2">
      <c r="B134" s="32"/>
      <c r="I134" s="78"/>
      <c r="J134" s="78"/>
    </row>
    <row r="135" spans="1:10" x14ac:dyDescent="0.2">
      <c r="A135" s="88" t="s">
        <v>114</v>
      </c>
      <c r="B135" s="248">
        <v>0</v>
      </c>
      <c r="I135" s="78"/>
      <c r="J135" s="78"/>
    </row>
    <row r="136" spans="1:10" ht="13.5" thickBot="1" x14ac:dyDescent="0.25">
      <c r="B136" s="32"/>
      <c r="I136" s="78"/>
      <c r="J136" s="78"/>
    </row>
    <row r="137" spans="1:10" ht="13.5" thickBot="1" x14ac:dyDescent="0.25">
      <c r="A137" s="56" t="s">
        <v>60</v>
      </c>
      <c r="B137" s="57" t="s">
        <v>61</v>
      </c>
      <c r="C137" s="57" t="s">
        <v>240</v>
      </c>
      <c r="D137" s="58" t="s">
        <v>224</v>
      </c>
      <c r="E137" s="58" t="s">
        <v>62</v>
      </c>
      <c r="F137" s="59" t="s">
        <v>63</v>
      </c>
      <c r="I137" s="78"/>
      <c r="J137" s="78"/>
    </row>
    <row r="138" spans="1:10" x14ac:dyDescent="0.2">
      <c r="A138" s="13" t="s">
        <v>13</v>
      </c>
      <c r="B138" s="14" t="s">
        <v>14</v>
      </c>
      <c r="C138" s="85">
        <v>0</v>
      </c>
      <c r="D138" s="80">
        <v>0</v>
      </c>
      <c r="E138" s="15"/>
      <c r="I138" s="78"/>
      <c r="J138" s="78"/>
    </row>
    <row r="139" spans="1:10" x14ac:dyDescent="0.2">
      <c r="A139" s="16" t="s">
        <v>15</v>
      </c>
      <c r="B139" s="17" t="s">
        <v>16</v>
      </c>
      <c r="C139" s="84">
        <f>B135</f>
        <v>0</v>
      </c>
      <c r="D139" s="15" t="str">
        <f>IFERROR(+D138/C138,"-")</f>
        <v>-</v>
      </c>
      <c r="E139" s="18" t="str">
        <f>IFERROR(C139*D139,"-")</f>
        <v>-</v>
      </c>
      <c r="I139" s="78"/>
      <c r="J139" s="78"/>
    </row>
    <row r="140" spans="1:10" x14ac:dyDescent="0.2">
      <c r="A140" s="16" t="s">
        <v>225</v>
      </c>
      <c r="B140" s="17" t="s">
        <v>17</v>
      </c>
      <c r="C140" s="86">
        <v>0</v>
      </c>
      <c r="D140" s="81">
        <v>0</v>
      </c>
      <c r="E140" s="18"/>
      <c r="G140" s="97"/>
      <c r="I140" s="78"/>
      <c r="J140" s="78"/>
    </row>
    <row r="141" spans="1:10" x14ac:dyDescent="0.2">
      <c r="A141" s="16" t="s">
        <v>18</v>
      </c>
      <c r="B141" s="17" t="s">
        <v>16</v>
      </c>
      <c r="C141" s="84">
        <f>C139</f>
        <v>0</v>
      </c>
      <c r="D141" s="211">
        <f>+C140*D140/1000</f>
        <v>0</v>
      </c>
      <c r="E141" s="18">
        <f>C141*D141</f>
        <v>0</v>
      </c>
      <c r="G141" s="97"/>
      <c r="I141" s="78"/>
      <c r="J141" s="78"/>
    </row>
    <row r="142" spans="1:10" x14ac:dyDescent="0.2">
      <c r="A142" s="16" t="s">
        <v>226</v>
      </c>
      <c r="B142" s="17" t="s">
        <v>17</v>
      </c>
      <c r="C142" s="86">
        <v>0</v>
      </c>
      <c r="D142" s="81">
        <v>0</v>
      </c>
      <c r="E142" s="18"/>
      <c r="G142" s="97"/>
      <c r="I142" s="78"/>
      <c r="J142" s="78"/>
    </row>
    <row r="143" spans="1:10" x14ac:dyDescent="0.2">
      <c r="A143" s="16" t="s">
        <v>19</v>
      </c>
      <c r="B143" s="17" t="s">
        <v>16</v>
      </c>
      <c r="C143" s="84">
        <f>C139</f>
        <v>0</v>
      </c>
      <c r="D143" s="211">
        <f>+C142*D142/1000</f>
        <v>0</v>
      </c>
      <c r="E143" s="18">
        <f>C143*D143</f>
        <v>0</v>
      </c>
      <c r="G143" s="97"/>
      <c r="I143" s="78"/>
      <c r="J143" s="78"/>
    </row>
    <row r="144" spans="1:10" x14ac:dyDescent="0.2">
      <c r="A144" s="16" t="s">
        <v>227</v>
      </c>
      <c r="B144" s="17" t="s">
        <v>17</v>
      </c>
      <c r="C144" s="86">
        <v>0</v>
      </c>
      <c r="D144" s="81">
        <v>0</v>
      </c>
      <c r="E144" s="18"/>
      <c r="G144" s="97"/>
      <c r="I144" s="78"/>
      <c r="J144" s="78"/>
    </row>
    <row r="145" spans="1:10" x14ac:dyDescent="0.2">
      <c r="A145" s="16" t="s">
        <v>20</v>
      </c>
      <c r="B145" s="17" t="s">
        <v>16</v>
      </c>
      <c r="C145" s="84">
        <f>C139</f>
        <v>0</v>
      </c>
      <c r="D145" s="211">
        <f>+C144*D144/1000</f>
        <v>0</v>
      </c>
      <c r="E145" s="18">
        <f>C145*D145</f>
        <v>0</v>
      </c>
      <c r="G145" s="97"/>
      <c r="I145" s="78"/>
      <c r="J145" s="78"/>
    </row>
    <row r="146" spans="1:10" x14ac:dyDescent="0.2">
      <c r="A146" s="16" t="s">
        <v>21</v>
      </c>
      <c r="B146" s="17" t="s">
        <v>22</v>
      </c>
      <c r="C146" s="86">
        <v>0</v>
      </c>
      <c r="D146" s="81">
        <v>0</v>
      </c>
      <c r="E146" s="18"/>
      <c r="G146" s="97"/>
      <c r="I146" s="78"/>
      <c r="J146" s="78"/>
    </row>
    <row r="147" spans="1:10" x14ac:dyDescent="0.2">
      <c r="A147" s="16" t="s">
        <v>23</v>
      </c>
      <c r="B147" s="17" t="s">
        <v>16</v>
      </c>
      <c r="C147" s="84">
        <f>C139</f>
        <v>0</v>
      </c>
      <c r="D147" s="211">
        <f>+C146*D146/1000</f>
        <v>0</v>
      </c>
      <c r="E147" s="18">
        <f>C147*D147</f>
        <v>0</v>
      </c>
      <c r="G147" s="97"/>
      <c r="I147" s="78"/>
      <c r="J147" s="78"/>
    </row>
    <row r="148" spans="1:10" ht="13.5" thickBot="1" x14ac:dyDescent="0.25">
      <c r="A148" s="88" t="s">
        <v>239</v>
      </c>
      <c r="B148" s="89" t="s">
        <v>115</v>
      </c>
      <c r="C148" s="212"/>
      <c r="D148" s="213">
        <f>IFERROR(D139+D141+D143+D145+D147,0)</f>
        <v>0</v>
      </c>
      <c r="E148" s="18"/>
      <c r="G148" s="97"/>
      <c r="I148" s="78"/>
      <c r="J148" s="78"/>
    </row>
    <row r="149" spans="1:10" ht="13.5" thickBot="1" x14ac:dyDescent="0.25">
      <c r="F149" s="21">
        <f>SUM(E138:E147)</f>
        <v>0</v>
      </c>
      <c r="I149" s="78"/>
      <c r="J149" s="78"/>
    </row>
    <row r="150" spans="1:10" ht="11.25" customHeight="1" x14ac:dyDescent="0.2">
      <c r="I150" s="78"/>
      <c r="J150" s="78"/>
    </row>
    <row r="151" spans="1:10" ht="13.5" thickBot="1" x14ac:dyDescent="0.25">
      <c r="A151" s="9" t="s">
        <v>49</v>
      </c>
      <c r="I151" s="78"/>
      <c r="J151" s="78"/>
    </row>
    <row r="152" spans="1:10" ht="13.5" thickBot="1" x14ac:dyDescent="0.25">
      <c r="A152" s="56" t="s">
        <v>60</v>
      </c>
      <c r="B152" s="57" t="s">
        <v>61</v>
      </c>
      <c r="C152" s="57" t="s">
        <v>36</v>
      </c>
      <c r="D152" s="58" t="s">
        <v>224</v>
      </c>
      <c r="E152" s="58" t="s">
        <v>62</v>
      </c>
      <c r="F152" s="59" t="s">
        <v>63</v>
      </c>
      <c r="I152" s="78"/>
      <c r="J152" s="78"/>
    </row>
    <row r="153" spans="1:10" ht="13.5" thickBot="1" x14ac:dyDescent="0.25">
      <c r="A153" s="13" t="s">
        <v>113</v>
      </c>
      <c r="B153" s="14" t="s">
        <v>115</v>
      </c>
      <c r="C153" s="84">
        <f>C139</f>
        <v>0</v>
      </c>
      <c r="D153" s="80">
        <v>0</v>
      </c>
      <c r="E153" s="15">
        <f>C153*D153</f>
        <v>0</v>
      </c>
      <c r="I153" s="78"/>
      <c r="J153" s="78"/>
    </row>
    <row r="154" spans="1:10" ht="13.5" thickBot="1" x14ac:dyDescent="0.25">
      <c r="F154" s="21">
        <f>E153</f>
        <v>0</v>
      </c>
      <c r="I154" s="78"/>
      <c r="J154" s="78"/>
    </row>
    <row r="155" spans="1:10" ht="11.25" customHeight="1" x14ac:dyDescent="0.2">
      <c r="I155" s="78"/>
      <c r="J155" s="78"/>
    </row>
    <row r="156" spans="1:10" ht="13.5" thickBot="1" x14ac:dyDescent="0.25">
      <c r="A156" s="9" t="s">
        <v>58</v>
      </c>
      <c r="I156" s="78"/>
      <c r="J156" s="78"/>
    </row>
    <row r="157" spans="1:10" ht="13.5" thickBot="1" x14ac:dyDescent="0.25">
      <c r="A157" s="56" t="s">
        <v>60</v>
      </c>
      <c r="B157" s="57" t="s">
        <v>61</v>
      </c>
      <c r="C157" s="57" t="s">
        <v>36</v>
      </c>
      <c r="D157" s="58" t="s">
        <v>224</v>
      </c>
      <c r="E157" s="58" t="s">
        <v>62</v>
      </c>
      <c r="F157" s="59" t="s">
        <v>63</v>
      </c>
      <c r="I157" s="78"/>
      <c r="J157" s="78"/>
    </row>
    <row r="158" spans="1:10" x14ac:dyDescent="0.2">
      <c r="A158" s="227" t="s">
        <v>294</v>
      </c>
      <c r="B158" s="14" t="s">
        <v>8</v>
      </c>
      <c r="C158" s="14">
        <v>6</v>
      </c>
      <c r="D158" s="80">
        <v>0</v>
      </c>
      <c r="E158" s="15">
        <f>C158*D158</f>
        <v>0</v>
      </c>
      <c r="I158" s="78"/>
      <c r="J158" s="78"/>
    </row>
    <row r="159" spans="1:10" x14ac:dyDescent="0.2">
      <c r="A159" s="13" t="s">
        <v>116</v>
      </c>
      <c r="B159" s="14" t="s">
        <v>8</v>
      </c>
      <c r="C159" s="14">
        <v>2</v>
      </c>
      <c r="D159" s="91"/>
      <c r="E159" s="15"/>
      <c r="I159" s="78"/>
      <c r="J159" s="78"/>
    </row>
    <row r="160" spans="1:10" x14ac:dyDescent="0.2">
      <c r="A160" s="13" t="s">
        <v>67</v>
      </c>
      <c r="B160" s="14" t="s">
        <v>8</v>
      </c>
      <c r="C160" s="15">
        <f>C158*C159</f>
        <v>12</v>
      </c>
      <c r="D160" s="80">
        <v>0</v>
      </c>
      <c r="E160" s="15">
        <f>C160*D160</f>
        <v>0</v>
      </c>
      <c r="I160" s="78"/>
      <c r="J160" s="78"/>
    </row>
    <row r="161" spans="1:10" x14ac:dyDescent="0.2">
      <c r="A161" s="247" t="s">
        <v>285</v>
      </c>
      <c r="B161" s="17" t="s">
        <v>24</v>
      </c>
      <c r="C161" s="255">
        <v>70000</v>
      </c>
      <c r="D161" s="18">
        <f>E158+E160</f>
        <v>0</v>
      </c>
      <c r="E161" s="18">
        <f>IFERROR(D161/C161,"-")</f>
        <v>0</v>
      </c>
      <c r="I161" s="78"/>
      <c r="J161" s="78"/>
    </row>
    <row r="162" spans="1:10" ht="13.5" thickBot="1" x14ac:dyDescent="0.25">
      <c r="A162" s="16" t="s">
        <v>51</v>
      </c>
      <c r="B162" s="17" t="s">
        <v>16</v>
      </c>
      <c r="C162" s="84">
        <f>B135</f>
        <v>0</v>
      </c>
      <c r="D162" s="18">
        <f>E161</f>
        <v>0</v>
      </c>
      <c r="E162" s="18">
        <f>IFERROR(C162*D162,0)</f>
        <v>0</v>
      </c>
      <c r="I162" s="78"/>
      <c r="J162" s="78"/>
    </row>
    <row r="163" spans="1:10" ht="13.5" thickBot="1" x14ac:dyDescent="0.25">
      <c r="F163" s="21">
        <f>E162</f>
        <v>0</v>
      </c>
      <c r="I163" s="78"/>
      <c r="J163" s="78"/>
    </row>
    <row r="164" spans="1:10" ht="11.25" customHeight="1" thickBot="1" x14ac:dyDescent="0.25">
      <c r="G164" s="9"/>
    </row>
    <row r="165" spans="1:10" ht="13.5" thickBot="1" x14ac:dyDescent="0.25">
      <c r="A165" s="24" t="s">
        <v>212</v>
      </c>
      <c r="B165" s="25"/>
      <c r="C165" s="25"/>
      <c r="D165" s="26"/>
      <c r="E165" s="27"/>
      <c r="F165" s="21">
        <f>+SUM(F96:F164)</f>
        <v>0</v>
      </c>
      <c r="G165" s="9"/>
    </row>
    <row r="166" spans="1:10" ht="11.25" customHeight="1" x14ac:dyDescent="0.2">
      <c r="G166" s="9"/>
    </row>
    <row r="167" spans="1:10" x14ac:dyDescent="0.2">
      <c r="A167" s="11" t="s">
        <v>71</v>
      </c>
      <c r="B167" s="11"/>
      <c r="C167" s="11"/>
      <c r="D167" s="34"/>
      <c r="E167" s="34"/>
      <c r="F167" s="33"/>
      <c r="G167" s="9"/>
    </row>
    <row r="168" spans="1:10" ht="11.25" customHeight="1" thickBot="1" x14ac:dyDescent="0.25">
      <c r="G168" s="9"/>
    </row>
    <row r="169" spans="1:10" ht="13.5" thickBot="1" x14ac:dyDescent="0.25">
      <c r="A169" s="56" t="s">
        <v>60</v>
      </c>
      <c r="B169" s="57" t="s">
        <v>61</v>
      </c>
      <c r="C169" s="57" t="s">
        <v>36</v>
      </c>
      <c r="D169" s="58" t="s">
        <v>224</v>
      </c>
      <c r="E169" s="58" t="s">
        <v>62</v>
      </c>
      <c r="F169" s="59" t="s">
        <v>63</v>
      </c>
      <c r="G169" s="9"/>
    </row>
    <row r="170" spans="1:10" x14ac:dyDescent="0.2">
      <c r="A170" s="16" t="s">
        <v>68</v>
      </c>
      <c r="B170" s="17" t="s">
        <v>8</v>
      </c>
      <c r="C170" s="253">
        <v>0.16666666666666666</v>
      </c>
      <c r="D170" s="80">
        <v>0</v>
      </c>
      <c r="E170" s="18">
        <f>C170*D170</f>
        <v>0</v>
      </c>
      <c r="F170" s="51"/>
      <c r="G170" s="9"/>
    </row>
    <row r="171" spans="1:10" x14ac:dyDescent="0.2">
      <c r="A171" s="16" t="s">
        <v>25</v>
      </c>
      <c r="B171" s="17" t="s">
        <v>8</v>
      </c>
      <c r="C171" s="253">
        <v>0.16666666666666666</v>
      </c>
      <c r="D171" s="80">
        <v>0</v>
      </c>
      <c r="E171" s="18">
        <f>C171*D171</f>
        <v>0</v>
      </c>
      <c r="F171" s="51"/>
      <c r="G171" s="9"/>
    </row>
    <row r="172" spans="1:10" x14ac:dyDescent="0.2">
      <c r="A172" s="16" t="s">
        <v>26</v>
      </c>
      <c r="B172" s="17" t="s">
        <v>8</v>
      </c>
      <c r="C172" s="253">
        <v>0.33333333333333331</v>
      </c>
      <c r="D172" s="80">
        <v>0</v>
      </c>
      <c r="E172" s="18">
        <f>C172*D172</f>
        <v>0</v>
      </c>
      <c r="F172" s="51"/>
      <c r="G172" s="9"/>
    </row>
    <row r="173" spans="1:10" x14ac:dyDescent="0.2">
      <c r="A173" s="16" t="s">
        <v>53</v>
      </c>
      <c r="B173" s="17" t="s">
        <v>54</v>
      </c>
      <c r="C173" s="253">
        <v>0.33333333333333331</v>
      </c>
      <c r="D173" s="80">
        <v>0</v>
      </c>
      <c r="E173" s="18">
        <f>C173*D173</f>
        <v>0</v>
      </c>
      <c r="F173" s="51"/>
      <c r="G173" s="9"/>
    </row>
    <row r="174" spans="1:10" ht="13.5" thickBot="1" x14ac:dyDescent="0.25">
      <c r="A174" s="16" t="s">
        <v>56</v>
      </c>
      <c r="B174" s="17" t="s">
        <v>54</v>
      </c>
      <c r="C174" s="253">
        <v>0.33333333333333331</v>
      </c>
      <c r="D174" s="80">
        <v>0</v>
      </c>
      <c r="E174" s="18">
        <f>C174*D174</f>
        <v>0</v>
      </c>
      <c r="F174" s="51"/>
      <c r="G174" s="9"/>
    </row>
    <row r="175" spans="1:10" ht="13.5" thickBot="1" x14ac:dyDescent="0.25">
      <c r="A175" s="11"/>
      <c r="B175" s="11"/>
      <c r="C175" s="11"/>
      <c r="D175" s="11"/>
      <c r="E175" s="34"/>
      <c r="F175" s="21">
        <f>SUM(E170:E174)</f>
        <v>0</v>
      </c>
      <c r="G175" s="9"/>
    </row>
    <row r="176" spans="1:10" ht="11.25" customHeight="1" thickBot="1" x14ac:dyDescent="0.25">
      <c r="G176" s="9"/>
    </row>
    <row r="177" spans="1:7" ht="13.5" thickBot="1" x14ac:dyDescent="0.25">
      <c r="A177" s="24" t="s">
        <v>213</v>
      </c>
      <c r="B177" s="25"/>
      <c r="C177" s="25"/>
      <c r="D177" s="26"/>
      <c r="E177" s="27"/>
      <c r="F177" s="21">
        <f>+F175</f>
        <v>0</v>
      </c>
      <c r="G177" s="9"/>
    </row>
    <row r="178" spans="1:7" ht="11.25" customHeight="1" x14ac:dyDescent="0.2">
      <c r="G178" s="9"/>
    </row>
    <row r="179" spans="1:7" x14ac:dyDescent="0.2">
      <c r="A179" s="11" t="s">
        <v>72</v>
      </c>
      <c r="B179" s="11"/>
      <c r="C179" s="11"/>
      <c r="D179" s="34"/>
      <c r="E179" s="34"/>
      <c r="F179" s="33"/>
    </row>
    <row r="180" spans="1:7" ht="11.25" customHeight="1" thickBot="1" x14ac:dyDescent="0.25"/>
    <row r="181" spans="1:7" ht="13.5" thickBot="1" x14ac:dyDescent="0.25">
      <c r="A181" s="56" t="s">
        <v>60</v>
      </c>
      <c r="B181" s="57" t="s">
        <v>61</v>
      </c>
      <c r="C181" s="57" t="s">
        <v>36</v>
      </c>
      <c r="D181" s="58" t="s">
        <v>224</v>
      </c>
      <c r="E181" s="58" t="s">
        <v>62</v>
      </c>
      <c r="F181" s="59" t="s">
        <v>63</v>
      </c>
    </row>
    <row r="182" spans="1:7" x14ac:dyDescent="0.2">
      <c r="A182" s="247" t="s">
        <v>210</v>
      </c>
      <c r="B182" s="50" t="s">
        <v>54</v>
      </c>
      <c r="C182" s="65">
        <f>C96</f>
        <v>1</v>
      </c>
      <c r="D182" s="250">
        <v>0</v>
      </c>
      <c r="E182" s="249">
        <f>+D182*C182</f>
        <v>0</v>
      </c>
      <c r="F182" s="51"/>
    </row>
    <row r="183" spans="1:7" x14ac:dyDescent="0.2">
      <c r="A183" s="16" t="s">
        <v>57</v>
      </c>
      <c r="B183" s="50" t="s">
        <v>6</v>
      </c>
      <c r="C183" s="17">
        <v>60</v>
      </c>
      <c r="D183" s="249">
        <f>SUM(E182:E182)</f>
        <v>0</v>
      </c>
      <c r="E183" s="249">
        <f>+D183/C183</f>
        <v>0</v>
      </c>
      <c r="F183" s="51"/>
    </row>
    <row r="184" spans="1:7" x14ac:dyDescent="0.2">
      <c r="A184" s="16" t="s">
        <v>211</v>
      </c>
      <c r="B184" s="17" t="s">
        <v>8</v>
      </c>
      <c r="C184" s="65">
        <f>+C182</f>
        <v>1</v>
      </c>
      <c r="D184" s="250">
        <v>0</v>
      </c>
      <c r="E184" s="249">
        <f>C184*D184</f>
        <v>0</v>
      </c>
      <c r="F184" s="51"/>
    </row>
    <row r="185" spans="1:7" ht="13.5" thickBot="1" x14ac:dyDescent="0.25">
      <c r="A185" s="16" t="s">
        <v>33</v>
      </c>
      <c r="B185" s="50" t="s">
        <v>6</v>
      </c>
      <c r="C185" s="17">
        <v>1</v>
      </c>
      <c r="D185" s="249">
        <f>+E184</f>
        <v>0</v>
      </c>
      <c r="E185" s="249">
        <f>+D185/C185</f>
        <v>0</v>
      </c>
      <c r="F185" s="51"/>
    </row>
    <row r="186" spans="1:7" ht="13.5" thickBot="1" x14ac:dyDescent="0.25">
      <c r="A186" s="12"/>
      <c r="B186" s="12"/>
      <c r="C186" s="12"/>
      <c r="D186" s="106" t="s">
        <v>188</v>
      </c>
      <c r="E186" s="48">
        <f>$B$37</f>
        <v>0.19886363636363635</v>
      </c>
      <c r="F186" s="21">
        <f>(E183+E185)*E186</f>
        <v>0</v>
      </c>
    </row>
    <row r="187" spans="1:7" s="49" customFormat="1" ht="11.25" customHeight="1" thickBot="1" x14ac:dyDescent="0.25">
      <c r="A187" s="9"/>
      <c r="B187" s="9"/>
      <c r="C187" s="9"/>
      <c r="D187" s="10"/>
      <c r="E187" s="10"/>
      <c r="F187" s="10"/>
      <c r="G187" s="77"/>
    </row>
    <row r="188" spans="1:7" ht="13.5" thickBot="1" x14ac:dyDescent="0.25">
      <c r="A188" s="24" t="s">
        <v>209</v>
      </c>
      <c r="B188" s="25"/>
      <c r="C188" s="25"/>
      <c r="D188" s="26"/>
      <c r="E188" s="27"/>
      <c r="F188" s="21">
        <f>+F186</f>
        <v>0</v>
      </c>
    </row>
    <row r="189" spans="1:7" ht="11.25" customHeight="1" thickBot="1" x14ac:dyDescent="0.25"/>
    <row r="190" spans="1:7" ht="17.25" customHeight="1" thickBot="1" x14ac:dyDescent="0.25">
      <c r="A190" s="304" t="s">
        <v>214</v>
      </c>
      <c r="B190" s="305"/>
      <c r="C190" s="305"/>
      <c r="D190" s="305"/>
      <c r="E190" s="306"/>
      <c r="F190" s="22" t="e">
        <f>+F71+F89+F165+F177+F188</f>
        <v>#DIV/0!</v>
      </c>
    </row>
    <row r="191" spans="1:7" ht="11.25" customHeight="1" x14ac:dyDescent="0.2"/>
    <row r="192" spans="1:7" ht="11.25" customHeight="1" x14ac:dyDescent="0.2">
      <c r="A192" s="11" t="s">
        <v>288</v>
      </c>
    </row>
    <row r="193" spans="1:6" ht="11.25" customHeight="1" thickBot="1" x14ac:dyDescent="0.25"/>
    <row r="194" spans="1:6" ht="11.25" customHeight="1" thickBot="1" x14ac:dyDescent="0.25">
      <c r="A194" s="56" t="s">
        <v>60</v>
      </c>
      <c r="B194" s="57" t="s">
        <v>61</v>
      </c>
      <c r="C194" s="57" t="s">
        <v>36</v>
      </c>
      <c r="D194" s="58" t="s">
        <v>224</v>
      </c>
      <c r="E194" s="58" t="s">
        <v>62</v>
      </c>
      <c r="F194" s="59" t="s">
        <v>63</v>
      </c>
    </row>
    <row r="195" spans="1:6" ht="11.25" customHeight="1" thickBot="1" x14ac:dyDescent="0.25">
      <c r="A195" s="13" t="s">
        <v>32</v>
      </c>
      <c r="B195" s="251" t="s">
        <v>246</v>
      </c>
      <c r="C195" s="121">
        <f>'7.Dimensionamento'!C13</f>
        <v>39.552</v>
      </c>
      <c r="D195" s="15" t="e">
        <f>#REF!</f>
        <v>#REF!</v>
      </c>
      <c r="E195" s="15" t="e">
        <f>C$195*D$195</f>
        <v>#REF!</v>
      </c>
    </row>
    <row r="196" spans="1:6" ht="11.25" customHeight="1" thickBot="1" x14ac:dyDescent="0.25">
      <c r="F196" s="21" t="e">
        <f>+E195</f>
        <v>#REF!</v>
      </c>
    </row>
    <row r="197" spans="1:6" ht="11.25" customHeight="1" thickBot="1" x14ac:dyDescent="0.25"/>
    <row r="198" spans="1:6" ht="17.25" customHeight="1" thickBot="1" x14ac:dyDescent="0.25">
      <c r="A198" s="304" t="s">
        <v>290</v>
      </c>
      <c r="B198" s="305"/>
      <c r="C198" s="305"/>
      <c r="D198" s="305"/>
      <c r="E198" s="306"/>
      <c r="F198" s="22" t="e">
        <f>F196</f>
        <v>#REF!</v>
      </c>
    </row>
    <row r="199" spans="1:6" ht="11.25" customHeight="1" thickBot="1" x14ac:dyDescent="0.25"/>
    <row r="200" spans="1:6" ht="17.25" customHeight="1" thickBot="1" x14ac:dyDescent="0.25">
      <c r="A200" s="304" t="s">
        <v>289</v>
      </c>
      <c r="B200" s="305"/>
      <c r="C200" s="305"/>
      <c r="D200" s="305"/>
      <c r="E200" s="306"/>
      <c r="F200" s="22" t="e">
        <f>F190+F198</f>
        <v>#DIV/0!</v>
      </c>
    </row>
    <row r="201" spans="1:6" ht="11.25" customHeight="1" x14ac:dyDescent="0.2"/>
    <row r="202" spans="1:6" x14ac:dyDescent="0.2">
      <c r="A202" s="11" t="s">
        <v>287</v>
      </c>
    </row>
    <row r="203" spans="1:6" ht="11.25" customHeight="1" thickBot="1" x14ac:dyDescent="0.25"/>
    <row r="204" spans="1:6" ht="13.5" thickBot="1" x14ac:dyDescent="0.25">
      <c r="A204" s="56" t="s">
        <v>60</v>
      </c>
      <c r="B204" s="57" t="s">
        <v>61</v>
      </c>
      <c r="C204" s="57" t="s">
        <v>36</v>
      </c>
      <c r="D204" s="58" t="s">
        <v>224</v>
      </c>
      <c r="E204" s="58" t="s">
        <v>62</v>
      </c>
      <c r="F204" s="59" t="s">
        <v>63</v>
      </c>
    </row>
    <row r="205" spans="1:6" ht="13.5" thickBot="1" x14ac:dyDescent="0.25">
      <c r="A205" s="13" t="s">
        <v>32</v>
      </c>
      <c r="B205" s="14" t="s">
        <v>1</v>
      </c>
      <c r="C205" s="121">
        <f>'4.BDI'!C14*100</f>
        <v>21.51</v>
      </c>
      <c r="D205" s="15" t="e">
        <f>+F200</f>
        <v>#DIV/0!</v>
      </c>
      <c r="E205" s="15" t="e">
        <f>C205*D205/100</f>
        <v>#DIV/0!</v>
      </c>
    </row>
    <row r="206" spans="1:6" ht="13.5" thickBot="1" x14ac:dyDescent="0.25">
      <c r="F206" s="21" t="e">
        <f>+E205</f>
        <v>#DIV/0!</v>
      </c>
    </row>
    <row r="207" spans="1:6" ht="11.25" customHeight="1" thickBot="1" x14ac:dyDescent="0.25"/>
    <row r="208" spans="1:6" ht="13.5" thickBot="1" x14ac:dyDescent="0.25">
      <c r="A208" s="304" t="s">
        <v>229</v>
      </c>
      <c r="B208" s="305"/>
      <c r="C208" s="305"/>
      <c r="D208" s="305"/>
      <c r="E208" s="306"/>
      <c r="F208" s="22" t="e">
        <f>F206</f>
        <v>#DIV/0!</v>
      </c>
    </row>
    <row r="209" spans="1:6" x14ac:dyDescent="0.2">
      <c r="A209" s="11"/>
      <c r="B209" s="11"/>
      <c r="C209" s="11"/>
      <c r="D209" s="34"/>
      <c r="E209" s="34"/>
      <c r="F209" s="33"/>
    </row>
    <row r="210" spans="1:6" ht="11.25" customHeight="1" thickBot="1" x14ac:dyDescent="0.25"/>
    <row r="211" spans="1:6" ht="24.75" customHeight="1" thickBot="1" x14ac:dyDescent="0.25">
      <c r="A211" s="304" t="s">
        <v>215</v>
      </c>
      <c r="B211" s="305"/>
      <c r="C211" s="305"/>
      <c r="D211" s="305"/>
      <c r="E211" s="306"/>
      <c r="F211" s="22" t="e">
        <f>F200+F208</f>
        <v>#DIV/0!</v>
      </c>
    </row>
    <row r="212" spans="1:6" ht="12.6" customHeight="1" x14ac:dyDescent="0.2">
      <c r="A212" s="52"/>
      <c r="B212" s="52"/>
      <c r="C212" s="52"/>
      <c r="D212" s="53"/>
      <c r="E212" s="53"/>
      <c r="F212" s="53"/>
    </row>
    <row r="242" s="9" customFormat="1" ht="9" customHeight="1" x14ac:dyDescent="0.2"/>
  </sheetData>
  <mergeCells count="12">
    <mergeCell ref="A33:D33"/>
    <mergeCell ref="A2:F2"/>
    <mergeCell ref="A3:F3"/>
    <mergeCell ref="A5:F5"/>
    <mergeCell ref="A12:C12"/>
    <mergeCell ref="A28:E28"/>
    <mergeCell ref="A29:D29"/>
    <mergeCell ref="A198:E198"/>
    <mergeCell ref="A190:E190"/>
    <mergeCell ref="A208:E208"/>
    <mergeCell ref="A211:E211"/>
    <mergeCell ref="A200:E200"/>
  </mergeCells>
  <hyperlinks>
    <hyperlink ref="A110" location="AbaRemun" display="3.1.2. Remuneração do Capital" xr:uid="{306DEBF8-9766-4FAA-878E-48CA30C6ADE0}"/>
    <hyperlink ref="A94" location="AbaDeprec" display="3.1.1. Depreciação" xr:uid="{6B6A6535-98CB-4DC7-9FB7-9F170E1C1222}"/>
  </hyperlinks>
  <pageMargins left="0.9055118110236221" right="0.51181102362204722" top="0.74803149606299213" bottom="0.74803149606299213" header="0.31496062992125984" footer="0.31496062992125984"/>
  <pageSetup paperSize="9" scale="76" fitToHeight="0" orientation="portrait" r:id="rId1"/>
  <headerFooter alignWithMargins="0">
    <oddFooter>&amp;R&amp;P de &amp;N</oddFooter>
  </headerFooter>
  <rowBreaks count="3" manualBreakCount="3">
    <brk id="38" max="5" man="1"/>
    <brk id="90" max="5" man="1"/>
    <brk id="165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4BB9-AAAE-40A3-8DF2-98CC3BCD0168}">
  <dimension ref="A1:H54"/>
  <sheetViews>
    <sheetView topLeftCell="A21" workbookViewId="0">
      <selection activeCell="C25" sqref="C25"/>
    </sheetView>
  </sheetViews>
  <sheetFormatPr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" customWidth="1"/>
    <col min="5" max="10" width="9.140625" style="1"/>
    <col min="11" max="11" width="11" style="1" bestFit="1" customWidth="1"/>
    <col min="12" max="16384" width="9.140625" style="1"/>
  </cols>
  <sheetData>
    <row r="1" spans="1:6" ht="13.5" thickBot="1" x14ac:dyDescent="0.25"/>
    <row r="2" spans="1:6" ht="18" x14ac:dyDescent="0.2">
      <c r="A2" s="307" t="s">
        <v>218</v>
      </c>
      <c r="B2" s="308"/>
      <c r="C2" s="309"/>
      <c r="D2" s="127"/>
      <c r="E2" s="127"/>
      <c r="F2" s="127"/>
    </row>
    <row r="3" spans="1:6" ht="14.25" x14ac:dyDescent="0.2">
      <c r="A3" s="136" t="s">
        <v>134</v>
      </c>
      <c r="B3" s="137" t="s">
        <v>135</v>
      </c>
      <c r="C3" s="138" t="s">
        <v>136</v>
      </c>
      <c r="D3" s="139"/>
    </row>
    <row r="4" spans="1:6" ht="14.25" x14ac:dyDescent="0.2">
      <c r="A4" s="136" t="s">
        <v>137</v>
      </c>
      <c r="B4" s="137" t="s">
        <v>37</v>
      </c>
      <c r="C4" s="140">
        <v>0.2</v>
      </c>
      <c r="D4" s="139"/>
    </row>
    <row r="5" spans="1:6" ht="14.25" x14ac:dyDescent="0.2">
      <c r="A5" s="136" t="s">
        <v>138</v>
      </c>
      <c r="B5" s="137" t="s">
        <v>139</v>
      </c>
      <c r="C5" s="140">
        <v>1.4999999999999999E-2</v>
      </c>
      <c r="D5" s="139"/>
    </row>
    <row r="6" spans="1:6" ht="14.25" x14ac:dyDescent="0.2">
      <c r="A6" s="136" t="s">
        <v>140</v>
      </c>
      <c r="B6" s="137" t="s">
        <v>141</v>
      </c>
      <c r="C6" s="140">
        <v>0.01</v>
      </c>
      <c r="D6" s="139"/>
    </row>
    <row r="7" spans="1:6" ht="14.25" x14ac:dyDescent="0.2">
      <c r="A7" s="136" t="s">
        <v>142</v>
      </c>
      <c r="B7" s="137" t="s">
        <v>143</v>
      </c>
      <c r="C7" s="140">
        <v>2E-3</v>
      </c>
      <c r="D7" s="139"/>
    </row>
    <row r="8" spans="1:6" ht="14.25" x14ac:dyDescent="0.2">
      <c r="A8" s="136" t="s">
        <v>144</v>
      </c>
      <c r="B8" s="137" t="s">
        <v>145</v>
      </c>
      <c r="C8" s="140">
        <v>6.0000000000000001E-3</v>
      </c>
      <c r="D8" s="139"/>
    </row>
    <row r="9" spans="1:6" ht="14.25" x14ac:dyDescent="0.2">
      <c r="A9" s="136" t="s">
        <v>146</v>
      </c>
      <c r="B9" s="137" t="s">
        <v>147</v>
      </c>
      <c r="C9" s="140">
        <v>2.5000000000000001E-2</v>
      </c>
      <c r="D9" s="139"/>
    </row>
    <row r="10" spans="1:6" ht="14.25" x14ac:dyDescent="0.2">
      <c r="A10" s="136" t="s">
        <v>148</v>
      </c>
      <c r="B10" s="137" t="s">
        <v>149</v>
      </c>
      <c r="C10" s="140">
        <v>0.03</v>
      </c>
      <c r="D10" s="139"/>
    </row>
    <row r="11" spans="1:6" ht="14.25" x14ac:dyDescent="0.2">
      <c r="A11" s="136" t="s">
        <v>150</v>
      </c>
      <c r="B11" s="137" t="s">
        <v>38</v>
      </c>
      <c r="C11" s="140">
        <v>0.08</v>
      </c>
      <c r="D11" s="139"/>
    </row>
    <row r="12" spans="1:6" ht="15" x14ac:dyDescent="0.2">
      <c r="A12" s="136" t="s">
        <v>151</v>
      </c>
      <c r="B12" s="141" t="s">
        <v>152</v>
      </c>
      <c r="C12" s="142">
        <f>SUM(C4:C11)</f>
        <v>0.36800000000000005</v>
      </c>
      <c r="D12" s="139"/>
    </row>
    <row r="13" spans="1:6" ht="15" x14ac:dyDescent="0.2">
      <c r="A13" s="143"/>
      <c r="B13" s="144"/>
      <c r="C13" s="145"/>
      <c r="D13" s="139"/>
    </row>
    <row r="14" spans="1:6" ht="14.25" x14ac:dyDescent="0.2">
      <c r="A14" s="136" t="s">
        <v>153</v>
      </c>
      <c r="B14" s="146" t="s">
        <v>154</v>
      </c>
      <c r="C14" s="140">
        <f>ROUND(IF('3.CAGED'!C27&gt;24,(1-12/'3.CAGED'!C27)*0.1111,0.1111-C23),4)</f>
        <v>5.7700000000000001E-2</v>
      </c>
      <c r="D14" s="139"/>
    </row>
    <row r="15" spans="1:6" ht="14.25" x14ac:dyDescent="0.2">
      <c r="A15" s="136" t="s">
        <v>155</v>
      </c>
      <c r="B15" s="146" t="s">
        <v>156</v>
      </c>
      <c r="C15" s="140">
        <f>ROUND('3.CAGED'!C31/'3.CAGED'!C28,4)</f>
        <v>8.3299999999999999E-2</v>
      </c>
      <c r="D15" s="139"/>
    </row>
    <row r="16" spans="1:6" ht="14.25" x14ac:dyDescent="0.2">
      <c r="A16" s="136" t="s">
        <v>207</v>
      </c>
      <c r="B16" s="146" t="s">
        <v>158</v>
      </c>
      <c r="C16" s="140">
        <v>5.9999999999999995E-4</v>
      </c>
      <c r="D16" s="139"/>
    </row>
    <row r="17" spans="1:8" ht="14.25" x14ac:dyDescent="0.2">
      <c r="A17" s="136" t="s">
        <v>157</v>
      </c>
      <c r="B17" s="146" t="s">
        <v>160</v>
      </c>
      <c r="C17" s="140">
        <v>8.2000000000000007E-3</v>
      </c>
      <c r="D17" s="139"/>
    </row>
    <row r="18" spans="1:8" ht="14.25" x14ac:dyDescent="0.2">
      <c r="A18" s="136" t="s">
        <v>159</v>
      </c>
      <c r="B18" s="146" t="s">
        <v>162</v>
      </c>
      <c r="C18" s="140">
        <v>3.0999999999999999E-3</v>
      </c>
      <c r="D18" s="139"/>
    </row>
    <row r="19" spans="1:8" ht="14.25" x14ac:dyDescent="0.2">
      <c r="A19" s="136" t="s">
        <v>161</v>
      </c>
      <c r="B19" s="146" t="s">
        <v>163</v>
      </c>
      <c r="C19" s="140">
        <v>1.66E-2</v>
      </c>
      <c r="D19" s="139"/>
    </row>
    <row r="20" spans="1:8" ht="15" x14ac:dyDescent="0.2">
      <c r="A20" s="136" t="s">
        <v>164</v>
      </c>
      <c r="B20" s="141" t="s">
        <v>165</v>
      </c>
      <c r="C20" s="142">
        <f>SUM(C14:C19)</f>
        <v>0.16950000000000001</v>
      </c>
      <c r="D20" s="147"/>
    </row>
    <row r="21" spans="1:8" ht="15" x14ac:dyDescent="0.2">
      <c r="A21" s="143"/>
      <c r="B21" s="144"/>
      <c r="C21" s="145"/>
      <c r="D21" s="147"/>
    </row>
    <row r="22" spans="1:8" ht="14.25" x14ac:dyDescent="0.2">
      <c r="A22" s="136" t="s">
        <v>166</v>
      </c>
      <c r="B22" s="137" t="s">
        <v>167</v>
      </c>
      <c r="C22" s="140">
        <f>ROUND(('3.CAGED'!C32) *'3.CAGED'!C25/'3.CAGED'!C28,4)</f>
        <v>2.7E-2</v>
      </c>
      <c r="D22" s="139"/>
      <c r="E22" s="148"/>
    </row>
    <row r="23" spans="1:8" ht="14.25" x14ac:dyDescent="0.2">
      <c r="A23" s="136" t="s">
        <v>206</v>
      </c>
      <c r="B23" s="137" t="s">
        <v>169</v>
      </c>
      <c r="C23" s="140">
        <f>ROUND(IF('3.CAGED'!C27&gt;12,12/'3.CAGED'!C27*0.1111,0.1111),4)</f>
        <v>5.3400000000000003E-2</v>
      </c>
      <c r="D23" s="139"/>
      <c r="H23" s="149"/>
    </row>
    <row r="24" spans="1:8" ht="14.25" x14ac:dyDescent="0.2">
      <c r="A24" s="136" t="s">
        <v>168</v>
      </c>
      <c r="B24" s="137" t="s">
        <v>171</v>
      </c>
      <c r="C24" s="140">
        <f>ROUND(('3.CAGED'!C30+'3.CAGED'!C29)/360*C22,4)</f>
        <v>3.0000000000000001E-3</v>
      </c>
      <c r="D24" s="139"/>
      <c r="E24" s="148"/>
    </row>
    <row r="25" spans="1:8" ht="14.25" x14ac:dyDescent="0.2">
      <c r="A25" s="136" t="s">
        <v>170</v>
      </c>
      <c r="B25" s="137" t="s">
        <v>173</v>
      </c>
      <c r="C25" s="140">
        <f>ROUND(('3.CAGED'!C28+'3.CAGED'!C29+'3.CAGED'!C31)/'3.CAGED'!C26*'3.CAGED'!C33*'3.CAGED'!C34*'3.CAGED'!C25/'3.CAGED'!C28,4)</f>
        <v>0.02</v>
      </c>
      <c r="D25" s="139"/>
      <c r="G25" s="148"/>
    </row>
    <row r="26" spans="1:8" ht="14.25" x14ac:dyDescent="0.2">
      <c r="A26" s="136" t="s">
        <v>172</v>
      </c>
      <c r="B26" s="137" t="s">
        <v>174</v>
      </c>
      <c r="C26" s="140">
        <f>ROUND(('3.CAGED'!C30/'3.CAGED'!C28)*'3.CAGED'!C25/12,4)</f>
        <v>1.9E-3</v>
      </c>
      <c r="D26" s="139"/>
    </row>
    <row r="27" spans="1:8" ht="15" x14ac:dyDescent="0.2">
      <c r="A27" s="136" t="s">
        <v>175</v>
      </c>
      <c r="B27" s="141" t="s">
        <v>176</v>
      </c>
      <c r="C27" s="142">
        <f>SUM(C22:C26)</f>
        <v>0.1053</v>
      </c>
      <c r="D27" s="147"/>
    </row>
    <row r="28" spans="1:8" ht="15" x14ac:dyDescent="0.2">
      <c r="A28" s="143"/>
      <c r="B28" s="144"/>
      <c r="C28" s="145"/>
      <c r="D28" s="147"/>
    </row>
    <row r="29" spans="1:8" ht="14.25" x14ac:dyDescent="0.2">
      <c r="A29" s="136" t="s">
        <v>177</v>
      </c>
      <c r="B29" s="137" t="s">
        <v>178</v>
      </c>
      <c r="C29" s="140">
        <f>ROUND(C12*C20,4)</f>
        <v>6.2399999999999997E-2</v>
      </c>
      <c r="D29" s="139"/>
    </row>
    <row r="30" spans="1:8" ht="28.5" x14ac:dyDescent="0.2">
      <c r="A30" s="136" t="s">
        <v>179</v>
      </c>
      <c r="B30" s="150" t="s">
        <v>269</v>
      </c>
      <c r="C30" s="140">
        <f>ROUND((C22*C12),4)</f>
        <v>9.9000000000000008E-3</v>
      </c>
      <c r="D30" s="139"/>
    </row>
    <row r="31" spans="1:8" ht="15" x14ac:dyDescent="0.2">
      <c r="A31" s="136" t="s">
        <v>180</v>
      </c>
      <c r="B31" s="141" t="s">
        <v>181</v>
      </c>
      <c r="C31" s="142">
        <f>SUM(C29:C30)</f>
        <v>7.2300000000000003E-2</v>
      </c>
      <c r="D31" s="147"/>
    </row>
    <row r="32" spans="1:8" ht="15.75" thickBot="1" x14ac:dyDescent="0.25">
      <c r="A32" s="151"/>
      <c r="B32" s="152" t="s">
        <v>182</v>
      </c>
      <c r="C32" s="153">
        <f>C31+C27+C20+C12</f>
        <v>0.71510000000000007</v>
      </c>
      <c r="D32" s="147"/>
    </row>
    <row r="33" spans="1:4" ht="15" x14ac:dyDescent="0.2">
      <c r="A33" s="139"/>
      <c r="B33" s="154"/>
      <c r="C33" s="155"/>
      <c r="D33" s="156"/>
    </row>
    <row r="34" spans="1:4" ht="14.25" x14ac:dyDescent="0.2">
      <c r="A34" s="139"/>
      <c r="B34" s="139"/>
      <c r="C34" s="157"/>
      <c r="D34" s="158"/>
    </row>
    <row r="35" spans="1:4" ht="14.25" x14ac:dyDescent="0.2">
      <c r="A35" s="139"/>
      <c r="B35" s="139"/>
      <c r="C35" s="157"/>
      <c r="D35" s="139"/>
    </row>
    <row r="36" spans="1:4" ht="14.25" x14ac:dyDescent="0.2">
      <c r="A36" s="139"/>
      <c r="B36" s="139"/>
      <c r="C36" s="157"/>
      <c r="D36" s="139"/>
    </row>
    <row r="37" spans="1:4" ht="14.25" x14ac:dyDescent="0.2">
      <c r="A37" s="139"/>
      <c r="B37" s="139"/>
      <c r="C37" s="157"/>
      <c r="D37" s="139"/>
    </row>
    <row r="38" spans="1:4" ht="15" x14ac:dyDescent="0.2">
      <c r="A38" s="139"/>
      <c r="B38" s="154"/>
      <c r="C38" s="155"/>
      <c r="D38" s="139"/>
    </row>
    <row r="39" spans="1:4" ht="15" x14ac:dyDescent="0.2">
      <c r="A39" s="147"/>
      <c r="B39" s="154"/>
      <c r="C39" s="155"/>
      <c r="D39" s="147"/>
    </row>
    <row r="40" spans="1:4" ht="16.5" x14ac:dyDescent="0.2">
      <c r="A40" s="159"/>
    </row>
    <row r="41" spans="1:4" x14ac:dyDescent="0.2">
      <c r="A41" s="160"/>
      <c r="B41" s="161"/>
      <c r="C41" s="161"/>
    </row>
    <row r="42" spans="1:4" ht="14.25" x14ac:dyDescent="0.2">
      <c r="A42" s="139"/>
      <c r="B42" s="162"/>
      <c r="C42" s="161"/>
    </row>
    <row r="43" spans="1:4" ht="14.25" x14ac:dyDescent="0.2">
      <c r="A43" s="139"/>
      <c r="B43" s="162"/>
      <c r="C43" s="139"/>
    </row>
    <row r="44" spans="1:4" ht="14.25" x14ac:dyDescent="0.2">
      <c r="A44" s="139"/>
      <c r="B44" s="157"/>
      <c r="C44" s="161"/>
    </row>
    <row r="45" spans="1:4" ht="14.25" x14ac:dyDescent="0.2">
      <c r="A45" s="139"/>
      <c r="B45" s="162"/>
      <c r="C45" s="139"/>
    </row>
    <row r="46" spans="1:4" ht="14.25" x14ac:dyDescent="0.2">
      <c r="A46" s="139"/>
      <c r="B46" s="157"/>
      <c r="C46" s="161"/>
    </row>
    <row r="47" spans="1:4" ht="14.25" x14ac:dyDescent="0.2">
      <c r="A47" s="139"/>
      <c r="B47" s="162"/>
      <c r="C47" s="139"/>
    </row>
    <row r="48" spans="1:4" ht="14.25" x14ac:dyDescent="0.2">
      <c r="A48" s="139"/>
      <c r="B48" s="157"/>
      <c r="C48" s="161"/>
    </row>
    <row r="49" spans="1:3" ht="14.25" x14ac:dyDescent="0.2">
      <c r="A49" s="139"/>
      <c r="B49" s="162"/>
      <c r="C49" s="139"/>
    </row>
    <row r="50" spans="1:3" ht="14.25" x14ac:dyDescent="0.2">
      <c r="A50" s="139"/>
      <c r="B50" s="157"/>
      <c r="C50" s="161"/>
    </row>
    <row r="51" spans="1:3" ht="16.5" x14ac:dyDescent="0.2">
      <c r="A51" s="159"/>
    </row>
    <row r="54" spans="1:3" x14ac:dyDescent="0.2">
      <c r="A54" s="163"/>
    </row>
  </sheetData>
  <mergeCells count="1">
    <mergeCell ref="A2:C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5">
    <pageSetUpPr fitToPage="1"/>
  </sheetPr>
  <dimension ref="A1:E35"/>
  <sheetViews>
    <sheetView topLeftCell="A19" zoomScale="73" zoomScaleNormal="73" workbookViewId="0">
      <selection activeCell="M31" sqref="M31"/>
    </sheetView>
  </sheetViews>
  <sheetFormatPr defaultRowHeight="12.75" x14ac:dyDescent="0.2"/>
  <cols>
    <col min="1" max="1" width="8.5703125" style="9" customWidth="1"/>
    <col min="2" max="2" width="67.140625" style="9" customWidth="1"/>
    <col min="3" max="3" width="13.7109375" style="9" customWidth="1"/>
    <col min="4" max="4" width="10.28515625" style="9" customWidth="1"/>
    <col min="5" max="5" width="13.7109375" style="9" customWidth="1"/>
    <col min="6" max="16384" width="9.140625" style="9"/>
  </cols>
  <sheetData>
    <row r="1" spans="1:4" ht="15" customHeight="1" x14ac:dyDescent="0.2">
      <c r="A1" s="313" t="s">
        <v>230</v>
      </c>
      <c r="B1" s="313"/>
      <c r="C1" s="313"/>
      <c r="D1" s="313"/>
    </row>
    <row r="2" spans="1:4" ht="15" customHeight="1" x14ac:dyDescent="0.2"/>
    <row r="3" spans="1:4" ht="15" customHeight="1" x14ac:dyDescent="0.2">
      <c r="A3" s="312" t="s">
        <v>280</v>
      </c>
      <c r="B3" s="312"/>
      <c r="C3" s="312"/>
      <c r="D3" s="312"/>
    </row>
    <row r="4" spans="1:4" ht="15" customHeight="1" x14ac:dyDescent="0.2">
      <c r="A4" s="312"/>
      <c r="B4" s="312"/>
      <c r="C4" s="312"/>
      <c r="D4" s="312"/>
    </row>
    <row r="5" spans="1:4" ht="15" customHeight="1" thickBot="1" x14ac:dyDescent="0.25"/>
    <row r="6" spans="1:4" ht="15" customHeight="1" x14ac:dyDescent="0.2">
      <c r="B6" s="310" t="s">
        <v>216</v>
      </c>
      <c r="C6" s="311"/>
    </row>
    <row r="7" spans="1:4" ht="15" customHeight="1" x14ac:dyDescent="0.2">
      <c r="B7" s="228" t="s">
        <v>197</v>
      </c>
      <c r="C7" s="229"/>
    </row>
    <row r="8" spans="1:4" ht="15" customHeight="1" x14ac:dyDescent="0.2">
      <c r="B8" s="230" t="s">
        <v>118</v>
      </c>
      <c r="C8" s="242">
        <v>2282</v>
      </c>
    </row>
    <row r="9" spans="1:4" ht="15" customHeight="1" x14ac:dyDescent="0.2">
      <c r="B9" s="231" t="s">
        <v>119</v>
      </c>
      <c r="C9" s="242">
        <v>2199</v>
      </c>
    </row>
    <row r="10" spans="1:4" ht="15" customHeight="1" x14ac:dyDescent="0.2">
      <c r="B10" s="232" t="s">
        <v>120</v>
      </c>
      <c r="C10" s="236">
        <v>45</v>
      </c>
    </row>
    <row r="11" spans="1:4" ht="15" customHeight="1" x14ac:dyDescent="0.2">
      <c r="B11" s="232" t="s">
        <v>121</v>
      </c>
      <c r="C11" s="236">
        <v>1260</v>
      </c>
    </row>
    <row r="12" spans="1:4" ht="15" customHeight="1" x14ac:dyDescent="0.2">
      <c r="B12" s="232" t="s">
        <v>122</v>
      </c>
      <c r="C12" s="236">
        <v>401</v>
      </c>
    </row>
    <row r="13" spans="1:4" ht="15" customHeight="1" x14ac:dyDescent="0.2">
      <c r="B13" s="232" t="s">
        <v>123</v>
      </c>
      <c r="C13" s="236">
        <v>22</v>
      </c>
    </row>
    <row r="14" spans="1:4" ht="15" customHeight="1" x14ac:dyDescent="0.2">
      <c r="B14" s="232" t="s">
        <v>124</v>
      </c>
      <c r="C14" s="236">
        <v>420</v>
      </c>
    </row>
    <row r="15" spans="1:4" ht="15" customHeight="1" x14ac:dyDescent="0.2">
      <c r="B15" s="232" t="s">
        <v>125</v>
      </c>
      <c r="C15" s="236">
        <v>1</v>
      </c>
    </row>
    <row r="16" spans="1:4" ht="15" customHeight="1" x14ac:dyDescent="0.2">
      <c r="B16" s="232" t="s">
        <v>126</v>
      </c>
      <c r="C16" s="236">
        <v>30</v>
      </c>
    </row>
    <row r="17" spans="1:5" ht="15" customHeight="1" x14ac:dyDescent="0.2">
      <c r="B17" s="233" t="s">
        <v>127</v>
      </c>
      <c r="C17" s="261">
        <v>0</v>
      </c>
    </row>
    <row r="18" spans="1:5" ht="15" customHeight="1" x14ac:dyDescent="0.2">
      <c r="B18" s="234" t="s">
        <v>274</v>
      </c>
      <c r="C18" s="261">
        <v>0</v>
      </c>
    </row>
    <row r="19" spans="1:5" ht="15" customHeight="1" x14ac:dyDescent="0.2">
      <c r="A19" s="9" t="s">
        <v>128</v>
      </c>
      <c r="B19" s="228" t="s">
        <v>129</v>
      </c>
      <c r="C19" s="229"/>
    </row>
    <row r="20" spans="1:5" ht="15" customHeight="1" x14ac:dyDescent="0.2">
      <c r="B20" s="235" t="s">
        <v>276</v>
      </c>
      <c r="C20" s="262">
        <v>4625</v>
      </c>
    </row>
    <row r="21" spans="1:5" ht="15" customHeight="1" x14ac:dyDescent="0.2">
      <c r="B21" s="232" t="s">
        <v>277</v>
      </c>
      <c r="C21" s="236">
        <v>4694</v>
      </c>
    </row>
    <row r="22" spans="1:5" ht="15" customHeight="1" x14ac:dyDescent="0.2">
      <c r="B22" s="232" t="s">
        <v>275</v>
      </c>
      <c r="C22" s="236">
        <f>C8-C9</f>
        <v>83</v>
      </c>
    </row>
    <row r="23" spans="1:5" ht="15" customHeight="1" x14ac:dyDescent="0.2">
      <c r="B23" s="237"/>
      <c r="C23" s="238"/>
    </row>
    <row r="24" spans="1:5" s="11" customFormat="1" ht="15" customHeight="1" x14ac:dyDescent="0.2">
      <c r="B24" s="230" t="s">
        <v>131</v>
      </c>
      <c r="C24" s="239">
        <f>MEDIAN(C20,C21)</f>
        <v>4659.5</v>
      </c>
    </row>
    <row r="25" spans="1:5" ht="15" customHeight="1" x14ac:dyDescent="0.2">
      <c r="B25" s="231" t="s">
        <v>272</v>
      </c>
      <c r="C25" s="240">
        <f>C11/C24</f>
        <v>0.27041528060950748</v>
      </c>
    </row>
    <row r="26" spans="1:5" ht="15" customHeight="1" x14ac:dyDescent="0.2">
      <c r="B26" s="231" t="s">
        <v>273</v>
      </c>
      <c r="C26" s="240">
        <f>MEDIAN(C8,C9)/C24</f>
        <v>0.48084558429015989</v>
      </c>
      <c r="E26" s="7"/>
    </row>
    <row r="27" spans="1:5" s="11" customFormat="1" ht="15" customHeight="1" x14ac:dyDescent="0.2">
      <c r="B27" s="231" t="s">
        <v>235</v>
      </c>
      <c r="C27" s="241">
        <f>12/C26</f>
        <v>24.956036598973444</v>
      </c>
    </row>
    <row r="28" spans="1:5" ht="15" customHeight="1" x14ac:dyDescent="0.2">
      <c r="B28" s="231" t="s">
        <v>130</v>
      </c>
      <c r="C28" s="242">
        <v>360</v>
      </c>
    </row>
    <row r="29" spans="1:5" ht="15" customHeight="1" x14ac:dyDescent="0.2">
      <c r="B29" s="231" t="s">
        <v>231</v>
      </c>
      <c r="C29" s="242">
        <v>10</v>
      </c>
    </row>
    <row r="30" spans="1:5" ht="15" customHeight="1" x14ac:dyDescent="0.2">
      <c r="B30" s="230" t="s">
        <v>232</v>
      </c>
      <c r="C30" s="243">
        <v>30</v>
      </c>
    </row>
    <row r="31" spans="1:5" ht="15" customHeight="1" x14ac:dyDescent="0.2">
      <c r="B31" s="230" t="s">
        <v>233</v>
      </c>
      <c r="C31" s="243">
        <v>30</v>
      </c>
    </row>
    <row r="32" spans="1:5" s="11" customFormat="1" ht="15" customHeight="1" x14ac:dyDescent="0.2">
      <c r="B32" s="230" t="s">
        <v>133</v>
      </c>
      <c r="C32" s="243">
        <f>30+(3*TRUNC(1/C26))</f>
        <v>36</v>
      </c>
    </row>
    <row r="33" spans="2:3" s="11" customFormat="1" ht="15" customHeight="1" x14ac:dyDescent="0.2">
      <c r="B33" s="231" t="s">
        <v>38</v>
      </c>
      <c r="C33" s="244">
        <v>0.08</v>
      </c>
    </row>
    <row r="34" spans="2:3" s="11" customFormat="1" ht="15" customHeight="1" thickBot="1" x14ac:dyDescent="0.25">
      <c r="B34" s="245" t="s">
        <v>132</v>
      </c>
      <c r="C34" s="246">
        <v>0.4</v>
      </c>
    </row>
    <row r="35" spans="2:3" ht="15" customHeight="1" x14ac:dyDescent="0.2">
      <c r="B35" s="11" t="s">
        <v>279</v>
      </c>
    </row>
  </sheetData>
  <sheetProtection algorithmName="SHA-512" hashValue="80g5gMEzT6/0tbfLdLiWFx8xuKUjKic+a8vqhK/hfftl1vlf0of+i1hzbWKsqZ2oAyKOz7usYuAtfhuQqu/TaA==" saltValue="4HPYuwVOYo0ec21dj0Ygog==" spinCount="100000" sheet="1" objects="1" scenarios="1"/>
  <mergeCells count="3">
    <mergeCell ref="B6:C6"/>
    <mergeCell ref="A3:D4"/>
    <mergeCell ref="A1:D1"/>
  </mergeCells>
  <pageMargins left="0.90551181102362199" right="0.51181102362204722" top="0.74803149606299213" bottom="0.74803149606299213" header="0.31496062992125984" footer="0.31496062992125984"/>
  <pageSetup paperSize="9" scale="89" fitToHeight="0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6"/>
  <dimension ref="A1:H18"/>
  <sheetViews>
    <sheetView topLeftCell="A4" zoomScaleNormal="100" workbookViewId="0">
      <selection activeCell="C12" sqref="C12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05" bestFit="1" customWidth="1"/>
    <col min="6" max="6" width="9.7109375" bestFit="1" customWidth="1"/>
  </cols>
  <sheetData>
    <row r="1" spans="1:8" s="124" customFormat="1" ht="15" thickBot="1" x14ac:dyDescent="0.25">
      <c r="B1" s="8"/>
      <c r="C1" s="8"/>
      <c r="E1" s="125"/>
    </row>
    <row r="2" spans="1:8" ht="15.75" x14ac:dyDescent="0.2">
      <c r="A2" s="319" t="s">
        <v>217</v>
      </c>
      <c r="B2" s="320"/>
      <c r="C2" s="320"/>
      <c r="D2" s="320"/>
      <c r="E2" s="320"/>
      <c r="F2" s="321"/>
    </row>
    <row r="3" spans="1:8" ht="16.5" thickBot="1" x14ac:dyDescent="0.25">
      <c r="A3" s="203"/>
      <c r="B3" s="204"/>
      <c r="C3" s="204"/>
      <c r="D3" s="204"/>
      <c r="E3" s="204"/>
      <c r="F3" s="205"/>
    </row>
    <row r="4" spans="1:8" ht="15" x14ac:dyDescent="0.25">
      <c r="A4" s="166"/>
      <c r="B4" s="8"/>
      <c r="C4" s="8"/>
      <c r="D4" s="316" t="s">
        <v>234</v>
      </c>
      <c r="E4" s="317"/>
      <c r="F4" s="318"/>
      <c r="G4" s="124"/>
      <c r="H4" s="124"/>
    </row>
    <row r="5" spans="1:8" ht="15" thickBot="1" x14ac:dyDescent="0.25">
      <c r="A5" s="165"/>
      <c r="B5" s="124"/>
      <c r="C5" s="124"/>
      <c r="D5" s="167" t="s">
        <v>183</v>
      </c>
      <c r="E5" s="168" t="s">
        <v>184</v>
      </c>
      <c r="F5" s="169" t="s">
        <v>185</v>
      </c>
      <c r="G5" s="124"/>
      <c r="H5" s="124"/>
    </row>
    <row r="6" spans="1:8" ht="14.25" x14ac:dyDescent="0.2">
      <c r="A6" s="170" t="s">
        <v>73</v>
      </c>
      <c r="B6" s="171" t="s">
        <v>74</v>
      </c>
      <c r="C6" s="276">
        <v>0.03</v>
      </c>
      <c r="D6" s="187">
        <v>2.9700000000000001E-2</v>
      </c>
      <c r="E6" s="188">
        <v>5.0799999999999998E-2</v>
      </c>
      <c r="F6" s="189">
        <v>6.2700000000000006E-2</v>
      </c>
      <c r="G6" s="124"/>
      <c r="H6" s="124"/>
    </row>
    <row r="7" spans="1:8" ht="14.25" x14ac:dyDescent="0.2">
      <c r="A7" s="173" t="s">
        <v>75</v>
      </c>
      <c r="B7" s="174" t="s">
        <v>76</v>
      </c>
      <c r="C7" s="277">
        <v>0.01</v>
      </c>
      <c r="D7" s="187">
        <f>0.3%+0.56%</f>
        <v>8.6E-3</v>
      </c>
      <c r="E7" s="188">
        <f>0.48%+0.85%</f>
        <v>1.3299999999999999E-2</v>
      </c>
      <c r="F7" s="189">
        <f>0.82%+0.89%</f>
        <v>1.7099999999999997E-2</v>
      </c>
      <c r="G7" s="124"/>
      <c r="H7" s="124"/>
    </row>
    <row r="8" spans="1:8" ht="14.25" x14ac:dyDescent="0.2">
      <c r="A8" s="173" t="s">
        <v>77</v>
      </c>
      <c r="B8" s="174" t="s">
        <v>78</v>
      </c>
      <c r="C8" s="277">
        <v>0.1</v>
      </c>
      <c r="D8" s="187">
        <v>7.7799999999999994E-2</v>
      </c>
      <c r="E8" s="188">
        <v>0.1085</v>
      </c>
      <c r="F8" s="189">
        <v>0.13550000000000001</v>
      </c>
      <c r="G8" s="124"/>
      <c r="H8" s="124"/>
    </row>
    <row r="9" spans="1:8" ht="14.25" x14ac:dyDescent="0.2">
      <c r="A9" s="173" t="s">
        <v>79</v>
      </c>
      <c r="B9" s="174" t="s">
        <v>80</v>
      </c>
      <c r="C9" s="280">
        <f>(1+E9)^(E10/252)-1</f>
        <v>2.1175112881721692E-3</v>
      </c>
      <c r="D9" s="187" t="s">
        <v>265</v>
      </c>
      <c r="E9" s="279">
        <v>0.1125</v>
      </c>
      <c r="F9" s="172"/>
      <c r="G9" s="124"/>
      <c r="H9" s="124"/>
    </row>
    <row r="10" spans="1:8" ht="14.25" x14ac:dyDescent="0.2">
      <c r="A10" s="173" t="s">
        <v>81</v>
      </c>
      <c r="B10" s="314" t="s">
        <v>82</v>
      </c>
      <c r="C10" s="277">
        <v>0.02</v>
      </c>
      <c r="D10" s="226" t="s">
        <v>186</v>
      </c>
      <c r="E10" s="177">
        <v>5</v>
      </c>
      <c r="F10" s="175"/>
      <c r="G10" s="124"/>
      <c r="H10" s="124"/>
    </row>
    <row r="11" spans="1:8" ht="15" thickBot="1" x14ac:dyDescent="0.25">
      <c r="A11" s="176" t="s">
        <v>83</v>
      </c>
      <c r="B11" s="315"/>
      <c r="C11" s="278">
        <v>3.6499999999999998E-2</v>
      </c>
      <c r="D11" s="164"/>
      <c r="E11" s="177"/>
      <c r="F11" s="175"/>
      <c r="G11" s="124"/>
      <c r="H11" s="124"/>
    </row>
    <row r="12" spans="1:8" ht="14.25" x14ac:dyDescent="0.2">
      <c r="A12" s="178" t="s">
        <v>84</v>
      </c>
      <c r="B12" s="179"/>
      <c r="C12" s="180"/>
      <c r="D12" s="164"/>
      <c r="E12" s="177"/>
      <c r="F12" s="175"/>
      <c r="G12" s="124"/>
      <c r="H12" s="124"/>
    </row>
    <row r="13" spans="1:8" ht="15" thickBot="1" x14ac:dyDescent="0.25">
      <c r="A13" s="181" t="s">
        <v>85</v>
      </c>
      <c r="B13" s="182"/>
      <c r="C13" s="183"/>
      <c r="D13" s="164"/>
      <c r="E13" s="177"/>
      <c r="F13" s="175"/>
      <c r="G13" s="124"/>
      <c r="H13" s="124"/>
    </row>
    <row r="14" spans="1:8" ht="15.75" thickBot="1" x14ac:dyDescent="0.25">
      <c r="A14" s="184" t="s">
        <v>86</v>
      </c>
      <c r="B14" s="185"/>
      <c r="C14" s="186">
        <f>ROUND((((1+C6+C7)*(1+C8)*(1+C9))/(1-(C10+C11))-1),4)</f>
        <v>0.21510000000000001</v>
      </c>
      <c r="D14" s="190">
        <v>0.21429999999999999</v>
      </c>
      <c r="E14" s="191">
        <v>0.2717</v>
      </c>
      <c r="F14" s="192">
        <v>0.3362</v>
      </c>
      <c r="G14" s="124"/>
      <c r="H14" s="124"/>
    </row>
    <row r="15" spans="1:8" ht="14.25" x14ac:dyDescent="0.2">
      <c r="A15" s="124"/>
      <c r="B15" s="124"/>
      <c r="C15" s="124"/>
      <c r="D15" s="124"/>
      <c r="E15" s="125"/>
      <c r="F15" s="124"/>
      <c r="G15" s="124"/>
      <c r="H15" s="124"/>
    </row>
    <row r="16" spans="1:8" ht="14.25" x14ac:dyDescent="0.2">
      <c r="A16" s="124"/>
      <c r="B16" s="124"/>
      <c r="C16" s="124"/>
      <c r="D16" s="124"/>
      <c r="E16" s="125"/>
      <c r="F16" s="124"/>
      <c r="G16" s="124"/>
      <c r="H16" s="124"/>
    </row>
    <row r="17" spans="1:8" ht="14.25" x14ac:dyDescent="0.2">
      <c r="A17" s="124"/>
      <c r="B17" s="124"/>
      <c r="C17" s="124"/>
      <c r="D17" s="124"/>
      <c r="E17" s="125"/>
      <c r="F17" s="124"/>
      <c r="G17" s="124"/>
      <c r="H17" s="124"/>
    </row>
    <row r="18" spans="1:8" ht="14.25" x14ac:dyDescent="0.2">
      <c r="A18" s="124"/>
      <c r="B18" s="124"/>
      <c r="C18" s="124"/>
      <c r="D18" s="124"/>
      <c r="E18" s="125"/>
      <c r="F18" s="124"/>
      <c r="G18" s="124"/>
      <c r="H18" s="124"/>
    </row>
  </sheetData>
  <mergeCells count="3">
    <mergeCell ref="B10:B11"/>
    <mergeCell ref="D4:F4"/>
    <mergeCell ref="A2:F2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7"/>
  <dimension ref="A1:B17"/>
  <sheetViews>
    <sheetView topLeftCell="A10" workbookViewId="0">
      <selection activeCell="H18" sqref="H18"/>
    </sheetView>
  </sheetViews>
  <sheetFormatPr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22" t="s">
        <v>219</v>
      </c>
      <c r="B1" s="323"/>
    </row>
    <row r="2" spans="1:2" s="93" customFormat="1" ht="19.5" customHeight="1" x14ac:dyDescent="0.2">
      <c r="A2" s="206" t="s">
        <v>198</v>
      </c>
      <c r="B2" s="207" t="s">
        <v>267</v>
      </c>
    </row>
    <row r="3" spans="1:2" ht="19.5" customHeight="1" x14ac:dyDescent="0.2">
      <c r="A3" s="133">
        <v>1</v>
      </c>
      <c r="B3" s="132">
        <v>33.629999999999995</v>
      </c>
    </row>
    <row r="4" spans="1:2" ht="19.5" customHeight="1" x14ac:dyDescent="0.2">
      <c r="A4" s="133">
        <v>2</v>
      </c>
      <c r="B4" s="132">
        <v>43.13</v>
      </c>
    </row>
    <row r="5" spans="1:2" ht="19.5" customHeight="1" x14ac:dyDescent="0.2">
      <c r="A5" s="133">
        <v>3</v>
      </c>
      <c r="B5" s="132">
        <v>48.68</v>
      </c>
    </row>
    <row r="6" spans="1:2" ht="19.5" customHeight="1" x14ac:dyDescent="0.2">
      <c r="A6" s="133">
        <v>4</v>
      </c>
      <c r="B6" s="132">
        <v>52.62</v>
      </c>
    </row>
    <row r="7" spans="1:2" ht="19.5" customHeight="1" x14ac:dyDescent="0.2">
      <c r="A7" s="133">
        <v>5</v>
      </c>
      <c r="B7" s="132">
        <v>55.679999999999993</v>
      </c>
    </row>
    <row r="8" spans="1:2" ht="19.5" customHeight="1" x14ac:dyDescent="0.2">
      <c r="A8" s="133">
        <v>6</v>
      </c>
      <c r="B8" s="132">
        <v>58.18</v>
      </c>
    </row>
    <row r="9" spans="1:2" ht="19.5" customHeight="1" x14ac:dyDescent="0.2">
      <c r="A9" s="133">
        <v>7</v>
      </c>
      <c r="B9" s="132">
        <v>60.29</v>
      </c>
    </row>
    <row r="10" spans="1:2" ht="19.5" customHeight="1" x14ac:dyDescent="0.2">
      <c r="A10" s="133">
        <v>8</v>
      </c>
      <c r="B10" s="132">
        <v>62.12</v>
      </c>
    </row>
    <row r="11" spans="1:2" ht="19.5" customHeight="1" x14ac:dyDescent="0.2">
      <c r="A11" s="133">
        <v>9</v>
      </c>
      <c r="B11" s="132">
        <v>63.73</v>
      </c>
    </row>
    <row r="12" spans="1:2" ht="19.5" customHeight="1" x14ac:dyDescent="0.2">
      <c r="A12" s="133">
        <v>10</v>
      </c>
      <c r="B12" s="132">
        <v>65.180000000000007</v>
      </c>
    </row>
    <row r="13" spans="1:2" ht="19.5" customHeight="1" x14ac:dyDescent="0.2">
      <c r="A13" s="133">
        <v>11</v>
      </c>
      <c r="B13" s="132">
        <v>66.47999999999999</v>
      </c>
    </row>
    <row r="14" spans="1:2" ht="19.5" customHeight="1" x14ac:dyDescent="0.2">
      <c r="A14" s="133">
        <v>12</v>
      </c>
      <c r="B14" s="132">
        <v>67.67</v>
      </c>
    </row>
    <row r="15" spans="1:2" ht="19.5" customHeight="1" x14ac:dyDescent="0.2">
      <c r="A15" s="133">
        <v>13</v>
      </c>
      <c r="B15" s="132">
        <v>68.77</v>
      </c>
    </row>
    <row r="16" spans="1:2" ht="19.5" customHeight="1" x14ac:dyDescent="0.2">
      <c r="A16" s="133">
        <v>14</v>
      </c>
      <c r="B16" s="132">
        <v>69.789999999999992</v>
      </c>
    </row>
    <row r="17" spans="1:2" ht="19.5" customHeight="1" thickBot="1" x14ac:dyDescent="0.25">
      <c r="A17" s="134">
        <v>15</v>
      </c>
      <c r="B17" s="135">
        <v>70.73</v>
      </c>
    </row>
  </sheetData>
  <sheetProtection algorithmName="SHA-512" hashValue="QbRvOx2L0U+z0I13l8Kbh/lZ2YYYXO99yBqVwePeQv+IggheM+lWs8GlA3Ee1xTN6FKHfXBdUyhLaz0ArwAfCg==" saltValue="SZlPseydlr7FDurP/EDvjw==" spinCount="100000" sheet="1" objects="1" scenarios="1"/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8"/>
  <dimension ref="A1:A17"/>
  <sheetViews>
    <sheetView topLeftCell="A7" workbookViewId="0">
      <selection activeCell="A16" sqref="A16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196" t="s">
        <v>223</v>
      </c>
    </row>
    <row r="2" spans="1:1" x14ac:dyDescent="0.2">
      <c r="A2" s="193"/>
    </row>
    <row r="3" spans="1:1" x14ac:dyDescent="0.2">
      <c r="A3" s="193" t="s">
        <v>236</v>
      </c>
    </row>
    <row r="4" spans="1:1" x14ac:dyDescent="0.2">
      <c r="A4" s="193"/>
    </row>
    <row r="5" spans="1:1" x14ac:dyDescent="0.2">
      <c r="A5" s="193"/>
    </row>
    <row r="6" spans="1:1" x14ac:dyDescent="0.2">
      <c r="A6" s="193"/>
    </row>
    <row r="7" spans="1:1" x14ac:dyDescent="0.2">
      <c r="A7" s="193"/>
    </row>
    <row r="8" spans="1:1" x14ac:dyDescent="0.2">
      <c r="A8" s="193"/>
    </row>
    <row r="9" spans="1:1" x14ac:dyDescent="0.2">
      <c r="A9" s="193"/>
    </row>
    <row r="10" spans="1:1" x14ac:dyDescent="0.2">
      <c r="A10" s="193"/>
    </row>
    <row r="11" spans="1:1" x14ac:dyDescent="0.2">
      <c r="A11" s="193"/>
    </row>
    <row r="12" spans="1:1" ht="19.5" x14ac:dyDescent="0.35">
      <c r="A12" s="194" t="s">
        <v>220</v>
      </c>
    </row>
    <row r="13" spans="1:1" ht="15" x14ac:dyDescent="0.2">
      <c r="A13" s="194" t="s">
        <v>103</v>
      </c>
    </row>
    <row r="14" spans="1:1" ht="15" x14ac:dyDescent="0.2">
      <c r="A14" s="194" t="s">
        <v>108</v>
      </c>
    </row>
    <row r="15" spans="1:1" ht="19.5" x14ac:dyDescent="0.35">
      <c r="A15" s="194" t="s">
        <v>221</v>
      </c>
    </row>
    <row r="16" spans="1:1" ht="19.5" x14ac:dyDescent="0.35">
      <c r="A16" s="194" t="s">
        <v>222</v>
      </c>
    </row>
    <row r="17" spans="1:1" ht="15.75" thickBot="1" x14ac:dyDescent="0.25">
      <c r="A17" s="195" t="s">
        <v>104</v>
      </c>
    </row>
  </sheetData>
  <sheetProtection algorithmName="SHA-512" hashValue="TR7uRKgOl22uNR6BFY/mHJ4DDeE1qeYHDrAkpWQYtLPMbqFuzSmP+qrsiCgiteWmiksO9GFfnGI6y1S0ueBHCQ==" saltValue="6naYRQ+TabFnILuidT5U5g==" spinCount="100000" sheet="1" objects="1" scenarios="1"/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8B6D8-790C-4490-B5EA-B8B30B6AD423}">
  <dimension ref="A1:C22"/>
  <sheetViews>
    <sheetView workbookViewId="0">
      <selection activeCell="C19" sqref="C19"/>
    </sheetView>
  </sheetViews>
  <sheetFormatPr defaultRowHeight="12.75" x14ac:dyDescent="0.2"/>
  <cols>
    <col min="1" max="1" width="58.28515625" style="215" customWidth="1"/>
    <col min="2" max="2" width="11.140625" style="215" bestFit="1" customWidth="1"/>
    <col min="3" max="3" width="11.28515625" style="215" bestFit="1" customWidth="1"/>
    <col min="4" max="16384" width="9.140625" style="215"/>
  </cols>
  <sheetData>
    <row r="1" spans="1:3" x14ac:dyDescent="0.2">
      <c r="A1" s="11" t="s">
        <v>196</v>
      </c>
    </row>
    <row r="2" spans="1:3" x14ac:dyDescent="0.2">
      <c r="A2" s="256" t="s">
        <v>243</v>
      </c>
    </row>
    <row r="3" spans="1:3" x14ac:dyDescent="0.2">
      <c r="A3" s="256" t="s">
        <v>268</v>
      </c>
    </row>
    <row r="4" spans="1:3" x14ac:dyDescent="0.2">
      <c r="A4" s="7" t="s">
        <v>266</v>
      </c>
    </row>
    <row r="5" spans="1:3" x14ac:dyDescent="0.2">
      <c r="A5" s="7"/>
    </row>
    <row r="6" spans="1:3" ht="13.5" thickBot="1" x14ac:dyDescent="0.25"/>
    <row r="7" spans="1:3" ht="18" x14ac:dyDescent="0.25">
      <c r="A7" s="324" t="s">
        <v>278</v>
      </c>
      <c r="B7" s="325"/>
      <c r="C7" s="326"/>
    </row>
    <row r="8" spans="1:3" ht="18" x14ac:dyDescent="0.25">
      <c r="A8" s="257"/>
      <c r="B8" s="258"/>
      <c r="C8" s="259"/>
    </row>
    <row r="9" spans="1:3" s="93" customFormat="1" ht="15" x14ac:dyDescent="0.25">
      <c r="A9" s="220" t="s">
        <v>263</v>
      </c>
      <c r="B9" s="221" t="s">
        <v>244</v>
      </c>
      <c r="C9" s="222" t="s">
        <v>136</v>
      </c>
    </row>
    <row r="10" spans="1:3" ht="14.25" x14ac:dyDescent="0.2">
      <c r="A10" s="164" t="s">
        <v>252</v>
      </c>
      <c r="B10" s="223" t="s">
        <v>245</v>
      </c>
      <c r="C10" s="175">
        <v>3296</v>
      </c>
    </row>
    <row r="11" spans="1:3" ht="14.25" x14ac:dyDescent="0.2">
      <c r="A11" s="164" t="s">
        <v>253</v>
      </c>
      <c r="B11" s="223" t="s">
        <v>250</v>
      </c>
      <c r="C11" s="263">
        <v>0.4</v>
      </c>
    </row>
    <row r="12" spans="1:3" ht="14.25" x14ac:dyDescent="0.2">
      <c r="A12" s="164" t="s">
        <v>254</v>
      </c>
      <c r="B12" s="223" t="s">
        <v>251</v>
      </c>
      <c r="C12" s="264">
        <f>C10*C11/1000</f>
        <v>1.3184</v>
      </c>
    </row>
    <row r="13" spans="1:3" ht="14.25" x14ac:dyDescent="0.2">
      <c r="A13" s="164" t="s">
        <v>260</v>
      </c>
      <c r="B13" s="223" t="s">
        <v>246</v>
      </c>
      <c r="C13" s="265">
        <f>(C12*30)</f>
        <v>39.552</v>
      </c>
    </row>
    <row r="14" spans="1:3" ht="14.25" x14ac:dyDescent="0.2">
      <c r="A14" s="164" t="s">
        <v>256</v>
      </c>
      <c r="B14" s="223" t="s">
        <v>90</v>
      </c>
      <c r="C14" s="264">
        <v>5</v>
      </c>
    </row>
    <row r="15" spans="1:3" ht="14.25" x14ac:dyDescent="0.2">
      <c r="A15" s="164" t="s">
        <v>255</v>
      </c>
      <c r="B15" s="223" t="s">
        <v>251</v>
      </c>
      <c r="C15" s="264">
        <f>IFERROR(C12*7/C14,0)</f>
        <v>1.8457599999999998</v>
      </c>
    </row>
    <row r="16" spans="1:3" ht="14.25" x14ac:dyDescent="0.2">
      <c r="A16" s="164" t="s">
        <v>247</v>
      </c>
      <c r="B16" s="223" t="s">
        <v>248</v>
      </c>
      <c r="C16" s="175">
        <v>500</v>
      </c>
    </row>
    <row r="17" spans="1:3" ht="14.25" x14ac:dyDescent="0.2">
      <c r="A17" s="164" t="s">
        <v>261</v>
      </c>
      <c r="B17" s="223"/>
      <c r="C17" s="175">
        <v>1</v>
      </c>
    </row>
    <row r="18" spans="1:3" ht="14.25" x14ac:dyDescent="0.2">
      <c r="A18" s="164" t="s">
        <v>262</v>
      </c>
      <c r="B18" s="223" t="s">
        <v>249</v>
      </c>
      <c r="C18" s="175">
        <v>8</v>
      </c>
    </row>
    <row r="19" spans="1:3" ht="14.25" x14ac:dyDescent="0.2">
      <c r="A19" s="164" t="s">
        <v>257</v>
      </c>
      <c r="B19" s="223" t="s">
        <v>246</v>
      </c>
      <c r="C19" s="175">
        <f>IF(AND(C18&gt;=15,C17=1),5.8,C18/2)</f>
        <v>4</v>
      </c>
    </row>
    <row r="20" spans="1:3" ht="14.25" x14ac:dyDescent="0.2">
      <c r="A20" s="164" t="s">
        <v>258</v>
      </c>
      <c r="B20" s="223"/>
      <c r="C20" s="264">
        <f>IFERROR(C15/C19,0)</f>
        <v>0.46143999999999996</v>
      </c>
    </row>
    <row r="21" spans="1:3" ht="14.25" x14ac:dyDescent="0.2">
      <c r="A21" s="164" t="s">
        <v>264</v>
      </c>
      <c r="B21" s="223"/>
      <c r="C21" s="266">
        <v>1</v>
      </c>
    </row>
    <row r="22" spans="1:3" ht="15" thickBot="1" x14ac:dyDescent="0.25">
      <c r="A22" s="260" t="s">
        <v>259</v>
      </c>
      <c r="B22" s="224"/>
      <c r="C22" s="225">
        <f>IFERROR(C20/C21,0)</f>
        <v>0.46143999999999996</v>
      </c>
    </row>
  </sheetData>
  <mergeCells count="1">
    <mergeCell ref="A7:C7"/>
  </mergeCells>
  <conditionalFormatting sqref="C19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5</vt:i4>
      </vt:variant>
    </vt:vector>
  </HeadingPairs>
  <TitlesOfParts>
    <vt:vector size="14" baseType="lpstr">
      <vt:lpstr>Orientações</vt:lpstr>
      <vt:lpstr>1. Coleta Domiciliar</vt:lpstr>
      <vt:lpstr>1.A. Destinação Final</vt:lpstr>
      <vt:lpstr>2. Encargos Sociais</vt:lpstr>
      <vt:lpstr>3.CAGED</vt:lpstr>
      <vt:lpstr>4.BDI</vt:lpstr>
      <vt:lpstr>5. Depreciação</vt:lpstr>
      <vt:lpstr>6.Remuneração de capital</vt:lpstr>
      <vt:lpstr>7.Dimensionamento</vt:lpstr>
      <vt:lpstr>AbaDeprec</vt:lpstr>
      <vt:lpstr>AbaRemun</vt:lpstr>
      <vt:lpstr>'1. Coleta Domiciliar'!Area_de_impressao</vt:lpstr>
      <vt:lpstr>'1.A. Destinação Final'!Area_de_impressao</vt:lpstr>
      <vt:lpstr>'3.CAGED'!Area_de_impressao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Nádia Brandalise</cp:lastModifiedBy>
  <cp:lastPrinted>2022-01-27T16:13:56Z</cp:lastPrinted>
  <dcterms:created xsi:type="dcterms:W3CDTF">2000-12-13T10:02:50Z</dcterms:created>
  <dcterms:modified xsi:type="dcterms:W3CDTF">2024-03-18T17:46:31Z</dcterms:modified>
</cp:coreProperties>
</file>